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Sustainability\Projects\Development Standards\Article 13 - 2021 Updates\Article 13 Implementation Documents\Technical Manual\Unlocked Calculators for Accessibility Review\"/>
    </mc:Choice>
  </mc:AlternateContent>
  <xr:revisionPtr revIDLastSave="0" documentId="13_ncr:1_{18382202-3AD4-4ADE-87B8-17783052913D}" xr6:coauthVersionLast="47" xr6:coauthVersionMax="47" xr10:uidLastSave="{00000000-0000-0000-0000-000000000000}"/>
  <workbookProtection workbookAlgorithmName="SHA-512" workbookHashValue="lEacAeeUx+uwmbykEKGrbFIXhTAB5Le4cw00LKUhGTnLHCydZ5OHivo0le3yyxJJQdk7qdWdqnI9h4s9c6ReDw==" workbookSaltValue="bAUb/7cHcq3XZQzFqBC/ow==" workbookSpinCount="100000" lockStructure="1"/>
  <bookViews>
    <workbookView xWindow="-120" yWindow="-120" windowWidth="29040" windowHeight="15720" xr2:uid="{00000000-000D-0000-FFFF-FFFF00000000}"/>
  </bookViews>
  <sheets>
    <sheet name="Applicant Input &amp; Summary" sheetId="20" r:id="rId1"/>
    <sheet name="Mitigated Strategies Input" sheetId="19" r:id="rId2"/>
    <sheet name="Calculation Details" sheetId="1" r:id="rId3"/>
    <sheet name="Performance Std - Source Data" sheetId="14" r:id="rId4"/>
    <sheet name="Projected Energy" sheetId="4" r:id="rId5"/>
    <sheet name="Projected Waste" sheetId="17" r:id="rId6"/>
    <sheet name="Projected Transportation" sheetId="13" r:id="rId7"/>
    <sheet name="Standard Values" sheetId="6" r:id="rId8"/>
    <sheet name="User Input by Subtype" sheetId="7" state="hidden" r:id="rId9"/>
    <sheet name="Database by Subtype" sheetId="3" state="hidden" r:id="rId10"/>
  </sheets>
  <definedNames>
    <definedName name="_xlnm.Print_Area" localSheetId="0">'Applicant Input &amp; Summary'!$A$11:$C$46</definedName>
    <definedName name="_xlnm.Print_Area" localSheetId="1">'Mitigated Strategies Input'!$A$8:$C$51</definedName>
    <definedName name="_xlnm.Print_Titles" localSheetId="9">'Database by Subtype'!$2:$3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14" l="1"/>
  <c r="E10" i="14"/>
  <c r="D10" i="14"/>
  <c r="C10" i="14"/>
  <c r="B10" i="14"/>
  <c r="E19" i="14"/>
  <c r="D19" i="14"/>
  <c r="C19" i="14"/>
  <c r="B19" i="14"/>
  <c r="D17" i="14"/>
  <c r="C17" i="14"/>
  <c r="B17" i="14"/>
  <c r="E18" i="14"/>
  <c r="E16" i="14"/>
  <c r="F8" i="14"/>
  <c r="E8" i="14"/>
  <c r="D8" i="14"/>
  <c r="C8" i="14"/>
  <c r="B8" i="14"/>
  <c r="F7" i="14"/>
  <c r="B5" i="6"/>
  <c r="F51" i="14"/>
  <c r="F52" i="14"/>
  <c r="F53" i="14"/>
  <c r="F54" i="14"/>
  <c r="F55" i="14"/>
  <c r="F50" i="14"/>
  <c r="E4" i="13"/>
  <c r="C4" i="13"/>
  <c r="B39" i="19" l="1"/>
  <c r="B44" i="14"/>
  <c r="B45" i="14"/>
  <c r="B46" i="14"/>
  <c r="A15" i="6"/>
  <c r="A16" i="6" s="1"/>
  <c r="A17" i="6" s="1"/>
  <c r="A18" i="6" s="1"/>
  <c r="A19" i="6" s="1"/>
  <c r="A20" i="6" s="1"/>
  <c r="A21" i="6" s="1"/>
  <c r="A22" i="6" s="1"/>
  <c r="A23" i="6" s="1"/>
  <c r="A24" i="6" s="1"/>
  <c r="B14" i="6"/>
  <c r="E5" i="13" l="1"/>
  <c r="B4" i="17"/>
  <c r="B3" i="17"/>
  <c r="F4" i="17" l="1"/>
  <c r="D3" i="17"/>
  <c r="B15" i="14" l="1"/>
  <c r="C15" i="14"/>
  <c r="B7" i="1" l="1"/>
  <c r="B6" i="1"/>
  <c r="B5" i="1"/>
  <c r="B4" i="1"/>
  <c r="B51" i="1"/>
  <c r="C6" i="14"/>
  <c r="B6" i="14"/>
  <c r="B19" i="1" l="1"/>
  <c r="B27" i="19"/>
  <c r="B6" i="13" l="1"/>
  <c r="B45" i="19" s="1"/>
  <c r="B49" i="19" l="1"/>
  <c r="B35" i="1" l="1"/>
  <c r="B17" i="19" l="1"/>
  <c r="B10" i="19"/>
  <c r="D6" i="14" l="1"/>
  <c r="B12" i="1"/>
  <c r="B12" i="19" l="1"/>
  <c r="B19" i="19"/>
  <c r="B40" i="14" l="1"/>
  <c r="B41" i="14" l="1"/>
  <c r="B11" i="1" l="1"/>
  <c r="E6" i="14"/>
  <c r="D15" i="14"/>
  <c r="B14" i="1" l="1"/>
  <c r="E15" i="14"/>
  <c r="F6" i="14"/>
  <c r="E17" i="14" l="1"/>
  <c r="B15" i="1" l="1"/>
  <c r="B27" i="20" s="1"/>
  <c r="G4" i="17"/>
  <c r="B27" i="1" s="1"/>
  <c r="E3" i="17"/>
  <c r="B38" i="19" l="1"/>
  <c r="B40" i="19" s="1"/>
  <c r="B50" i="19" s="1"/>
  <c r="B36" i="1" s="1"/>
  <c r="B5" i="7"/>
  <c r="B12" i="7"/>
  <c r="B43" i="1" l="1"/>
  <c r="B6" i="6" l="1"/>
  <c r="B20" i="1" s="1"/>
  <c r="B23" i="1" s="1"/>
  <c r="B6" i="7" l="1"/>
  <c r="B16" i="7" s="1"/>
  <c r="B32" i="19" l="1"/>
  <c r="B33" i="19" s="1"/>
  <c r="B48" i="19" l="1"/>
  <c r="B34" i="1" s="1"/>
  <c r="B42" i="1" s="1"/>
  <c r="B25" i="6" l="1"/>
  <c r="B26" i="6" s="1"/>
  <c r="B8" i="6" l="1"/>
  <c r="B22" i="1" s="1"/>
  <c r="B24" i="1" s="1"/>
  <c r="B13" i="19"/>
  <c r="B15" i="7"/>
  <c r="B17" i="7" s="1"/>
  <c r="B20" i="19"/>
  <c r="B29" i="1" l="1"/>
  <c r="B30" i="20" s="1"/>
  <c r="B25" i="19"/>
  <c r="B47" i="19" s="1"/>
  <c r="B33" i="1" s="1"/>
  <c r="B41" i="1" s="1"/>
  <c r="B51" i="19" l="1"/>
  <c r="B6" i="19" s="1"/>
  <c r="B37" i="1" l="1"/>
  <c r="B33" i="20" s="1"/>
  <c r="B44" i="1" l="1"/>
  <c r="B54" i="1"/>
  <c r="B36" i="20" l="1"/>
  <c r="B48" i="1"/>
  <c r="B53" i="1" l="1"/>
  <c r="B39" i="20"/>
  <c r="B22" i="20" s="1"/>
  <c r="B44" i="20" l="1"/>
  <c r="B55" i="1"/>
  <c r="B56" i="1" s="1"/>
  <c r="B45" i="20" l="1"/>
  <c r="B46" i="20"/>
  <c r="B23" i="20" s="1"/>
</calcChain>
</file>

<file path=xl/sharedStrings.xml><?xml version="1.0" encoding="utf-8"?>
<sst xmlns="http://schemas.openxmlformats.org/spreadsheetml/2006/main" count="483" uniqueCount="331">
  <si>
    <t>Development Gross Floor Area</t>
  </si>
  <si>
    <t>SF</t>
  </si>
  <si>
    <t>Annual electricity use</t>
  </si>
  <si>
    <t>Annual natural gas use</t>
  </si>
  <si>
    <t>therms</t>
  </si>
  <si>
    <t>kwh</t>
  </si>
  <si>
    <t>kW</t>
  </si>
  <si>
    <t>Renewable solar energy capacity</t>
  </si>
  <si>
    <t>Renewable wind energy</t>
  </si>
  <si>
    <t>Solar electricity generation</t>
  </si>
  <si>
    <t>Enter site specific projected energy use data, if available</t>
  </si>
  <si>
    <t>Enter in projected renewable energy data. Enter 0 if none.</t>
  </si>
  <si>
    <t>Release date:  December 2016</t>
  </si>
  <si>
    <t/>
  </si>
  <si>
    <t>Q</t>
  </si>
  <si>
    <t xml:space="preserve">Public assembly </t>
  </si>
  <si>
    <t xml:space="preserve">Public order and safety </t>
  </si>
  <si>
    <t xml:space="preserve">Religious worship </t>
  </si>
  <si>
    <t xml:space="preserve">Service </t>
  </si>
  <si>
    <t xml:space="preserve">Warehouse and storage </t>
  </si>
  <si>
    <t xml:space="preserve">Other </t>
  </si>
  <si>
    <t xml:space="preserve">Vacant </t>
  </si>
  <si>
    <r>
      <t xml:space="preserve">     </t>
    </r>
    <r>
      <rPr>
        <vertAlign val="superscript"/>
        <sz val="9"/>
        <color theme="1"/>
        <rFont val="Calibri"/>
        <family val="2"/>
        <scheme val="minor"/>
      </rPr>
      <t>1</t>
    </r>
    <r>
      <rPr>
        <sz val="9"/>
        <color theme="1"/>
        <rFont val="Calibri"/>
        <family val="2"/>
        <scheme val="minor"/>
      </rPr>
      <t xml:space="preserve">Includes </t>
    </r>
    <r>
      <rPr>
        <i/>
        <sz val="9"/>
        <color theme="1"/>
        <rFont val="Calibri"/>
        <family val="2"/>
        <scheme val="minor"/>
      </rPr>
      <t>Convenience stores</t>
    </r>
    <r>
      <rPr>
        <sz val="9"/>
        <color theme="1"/>
        <rFont val="Calibri"/>
        <family val="2"/>
        <scheme val="minor"/>
      </rPr>
      <t xml:space="preserve"> and </t>
    </r>
    <r>
      <rPr>
        <i/>
        <sz val="9"/>
        <color theme="1"/>
        <rFont val="Calibri"/>
        <family val="2"/>
        <scheme val="minor"/>
      </rPr>
      <t>Convenience stores with gas stations</t>
    </r>
    <r>
      <rPr>
        <sz val="9"/>
        <color theme="1"/>
        <rFont val="Calibri"/>
        <family val="2"/>
        <scheme val="minor"/>
      </rPr>
      <t xml:space="preserve">.
     Q = Data withheld either because the Relative Standard Error (RSE) was greater than 50 percent or fewer than 20 buildings were sampled.
      Notes:  ● Because of rounding, data may not sum to totals.  ● See the </t>
    </r>
    <r>
      <rPr>
        <i/>
        <sz val="9"/>
        <color theme="1"/>
        <rFont val="Calibri"/>
        <family val="2"/>
        <scheme val="minor"/>
      </rPr>
      <t>Guide to the 2012 CBECS Detailed Tables</t>
    </r>
    <r>
      <rPr>
        <sz val="9"/>
        <color theme="1"/>
        <rFont val="Calibri"/>
        <family val="2"/>
        <scheme val="minor"/>
      </rPr>
      <t xml:space="preserve"> or </t>
    </r>
    <r>
      <rPr>
        <i/>
        <sz val="9"/>
        <color theme="1"/>
        <rFont val="Calibri"/>
        <family val="2"/>
        <scheme val="minor"/>
      </rPr>
      <t xml:space="preserve">CBECS Terminology </t>
    </r>
    <r>
      <rPr>
        <sz val="9"/>
        <color theme="1"/>
        <rFont val="Calibri"/>
        <family val="2"/>
        <scheme val="minor"/>
      </rPr>
      <t>for definitions of terms used in these tables and/or comparison of differences with prior CBECS tables. Both references can be accessed from http://www.eia.gov/consumption/commercial/data/2012/ 
     Source: U.S. Energy Information Administration, Office of Energy Consumption and Efficiency Statistics, Form EIA-871A and E of the 2012 Commercial Buildings Energy Consumption Survey.</t>
    </r>
  </si>
  <si>
    <t>Electricity consumption</t>
  </si>
  <si>
    <t>https://www.eia.gov/consumption/commercial/data/2012/c&amp;e/cfm/pba4.php</t>
  </si>
  <si>
    <t>Median
(kWh/square foot)</t>
  </si>
  <si>
    <t>Natural gas consumption</t>
  </si>
  <si>
    <t>Average (kWh/SF)</t>
  </si>
  <si>
    <r>
      <t xml:space="preserve">     </t>
    </r>
    <r>
      <rPr>
        <vertAlign val="superscript"/>
        <sz val="9"/>
        <color theme="1"/>
        <rFont val="Calibri"/>
        <family val="2"/>
        <scheme val="minor"/>
      </rPr>
      <t>1</t>
    </r>
    <r>
      <rPr>
        <sz val="9"/>
        <color theme="1"/>
        <rFont val="Calibri"/>
        <family val="2"/>
        <scheme val="minor"/>
      </rPr>
      <t xml:space="preserve">Includes </t>
    </r>
    <r>
      <rPr>
        <i/>
        <sz val="9"/>
        <color theme="1"/>
        <rFont val="Calibri"/>
        <family val="2"/>
        <scheme val="minor"/>
      </rPr>
      <t>Convenience stores</t>
    </r>
    <r>
      <rPr>
        <sz val="9"/>
        <color theme="1"/>
        <rFont val="Calibri"/>
        <family val="2"/>
        <scheme val="minor"/>
      </rPr>
      <t xml:space="preserve"> and </t>
    </r>
    <r>
      <rPr>
        <i/>
        <sz val="9"/>
        <color theme="1"/>
        <rFont val="Calibri"/>
        <family val="2"/>
        <scheme val="minor"/>
      </rPr>
      <t>Convenience stores with gas stations</t>
    </r>
    <r>
      <rPr>
        <sz val="9"/>
        <color theme="1"/>
        <rFont val="Calibri"/>
        <family val="2"/>
        <scheme val="minor"/>
      </rPr>
      <t xml:space="preserve">.
     Q = Data withheld either because the Relative Standard Error (RSE) was greater than 50 percent or fewer than 20 buildings were sampled.
      Notes:  ● Because of rounding, data may not sum to totals.  ● See the </t>
    </r>
    <r>
      <rPr>
        <i/>
        <sz val="9"/>
        <color theme="1"/>
        <rFont val="Calibri"/>
        <family val="2"/>
        <scheme val="minor"/>
      </rPr>
      <t>Guide to the 2012 CBECS Detailed Tables</t>
    </r>
    <r>
      <rPr>
        <sz val="9"/>
        <color theme="1"/>
        <rFont val="Calibri"/>
        <family val="2"/>
        <scheme val="minor"/>
      </rPr>
      <t xml:space="preserve"> or </t>
    </r>
    <r>
      <rPr>
        <i/>
        <sz val="9"/>
        <color theme="1"/>
        <rFont val="Calibri"/>
        <family val="2"/>
        <scheme val="minor"/>
      </rPr>
      <t xml:space="preserve">CBECS Terminology </t>
    </r>
    <r>
      <rPr>
        <sz val="9"/>
        <color theme="1"/>
        <rFont val="Calibri"/>
        <family val="2"/>
        <scheme val="minor"/>
      </rPr>
      <t>for definitions of terms used in these tables and/or comparison of differences with prior CBECS tables. Both references can be accessed from http://www.eia.gov/consumption/commercial/data/2012/ 
     Source: U.S. Energy Information Administration, Office of Energy Consumption and Efficiency Statistics, Form EIA-871A and G of the 2012 Commercial Buildings Energy Consumption Survey.</t>
    </r>
  </si>
  <si>
    <t>Education</t>
  </si>
  <si>
    <t>Principal building activity</t>
  </si>
  <si>
    <t>Electricity
energy intensity
(kWh/square foot)</t>
  </si>
  <si>
    <t>Natural gas
energy intensity
(cubic feet/square foot)</t>
  </si>
  <si>
    <t>Average heat content of natural gas</t>
  </si>
  <si>
    <t>https://www.eia.gov/dnav/ng/ng_cons_heat_a_EPG0_VGTH_btucf_a.htm</t>
  </si>
  <si>
    <t>1 therm = 100,000 BTU</t>
  </si>
  <si>
    <t>Xcel grid carbon equivalency - electricity</t>
  </si>
  <si>
    <t>Xcel grid carbon equivalency - natural gas</t>
  </si>
  <si>
    <t>Annual Natural Gas Use CO2 emissions</t>
  </si>
  <si>
    <t>mTCO2e</t>
  </si>
  <si>
    <t>This is prescriptive path if energy modeling is not available. Since it's from 2012, data is older and likely more conservative, which encourages applicant to have their own modeling done</t>
  </si>
  <si>
    <t>Green boxes are required inputs. Blue are optional.</t>
  </si>
  <si>
    <t>Offsite</t>
  </si>
  <si>
    <t>Onsite or offsite</t>
  </si>
  <si>
    <t>If off-site, the capacity factor might be better</t>
  </si>
  <si>
    <t>Notes</t>
  </si>
  <si>
    <t>1 Mwh = 1000 kwh</t>
  </si>
  <si>
    <t>If user enters in site specific data, the prescriptive (database) data will be overwritten</t>
  </si>
  <si>
    <t>Annual Net Electricity Use CO2 emissions</t>
  </si>
  <si>
    <t>Total energy CO2 emissions</t>
  </si>
  <si>
    <t>2012 CBECS data (Nationwide data)</t>
  </si>
  <si>
    <t xml:space="preserve">Education - College or university </t>
  </si>
  <si>
    <t xml:space="preserve">Education - K-12 </t>
  </si>
  <si>
    <t xml:space="preserve">Education - Elementary or middle school </t>
  </si>
  <si>
    <t xml:space="preserve">Education - High school </t>
  </si>
  <si>
    <t xml:space="preserve">Education - Preschool or daycare </t>
  </si>
  <si>
    <t xml:space="preserve">Education - Other classroom education </t>
  </si>
  <si>
    <r>
      <t>Food sales - Convenience store</t>
    </r>
    <r>
      <rPr>
        <vertAlign val="superscript"/>
        <sz val="10"/>
        <color theme="1"/>
        <rFont val="Calibri"/>
        <family val="2"/>
        <scheme val="minor"/>
      </rPr>
      <t>1</t>
    </r>
  </si>
  <si>
    <t xml:space="preserve">Food sales - Grocery store or food market </t>
  </si>
  <si>
    <t xml:space="preserve">Food sales - Other food sales </t>
  </si>
  <si>
    <t xml:space="preserve">Food service - Fast food </t>
  </si>
  <si>
    <t xml:space="preserve">Food service - Restaurant or cafeteria </t>
  </si>
  <si>
    <t>Food service - Bar, pub, or lounge</t>
  </si>
  <si>
    <t xml:space="preserve">Food service - Other food service </t>
  </si>
  <si>
    <t xml:space="preserve">Health care - Inpatient </t>
  </si>
  <si>
    <t xml:space="preserve">Health care - Outpatient </t>
  </si>
  <si>
    <t xml:space="preserve">Health care - Office (diagnostic) </t>
  </si>
  <si>
    <t xml:space="preserve">Health care - Clinic or other outpatient </t>
  </si>
  <si>
    <t xml:space="preserve">Lodging - Hotel </t>
  </si>
  <si>
    <t xml:space="preserve">Lodging - Motel or inn </t>
  </si>
  <si>
    <t xml:space="preserve">Lodging - Dormitory, fraternity, or sorority </t>
  </si>
  <si>
    <t>Lodging - Nursing home or assisted living</t>
  </si>
  <si>
    <t xml:space="preserve">Lodging - Other lodging </t>
  </si>
  <si>
    <t>Mercantile - Retail (other than mall)</t>
  </si>
  <si>
    <t xml:space="preserve">Mercantile - Retail store </t>
  </si>
  <si>
    <t xml:space="preserve">Mercantile - Vehicle dealership </t>
  </si>
  <si>
    <t xml:space="preserve">Mercantile - Other retail </t>
  </si>
  <si>
    <t>Mercantile - Enclosed and strip malls</t>
  </si>
  <si>
    <t xml:space="preserve">Mercantile - Strip shopping center </t>
  </si>
  <si>
    <t xml:space="preserve">Mercantile - Enclosed mall </t>
  </si>
  <si>
    <t>Office - Administrative or professional</t>
  </si>
  <si>
    <t xml:space="preserve">Office - Bank or other financial </t>
  </si>
  <si>
    <t xml:space="preserve">Office - Government </t>
  </si>
  <si>
    <t xml:space="preserve">Office - Medical (non-diagnostic) </t>
  </si>
  <si>
    <t xml:space="preserve">Office - Mixed-use </t>
  </si>
  <si>
    <t xml:space="preserve">Office - Other office </t>
  </si>
  <si>
    <t>Food sales</t>
  </si>
  <si>
    <t>Food service</t>
  </si>
  <si>
    <t>Health care</t>
  </si>
  <si>
    <t>Lodging</t>
  </si>
  <si>
    <t xml:space="preserve">Public assembly - Library </t>
  </si>
  <si>
    <t>Public assembly - Entertainment or culture</t>
  </si>
  <si>
    <t xml:space="preserve">Public assembly - Recreation </t>
  </si>
  <si>
    <t xml:space="preserve">Public assembly - Social or meeting </t>
  </si>
  <si>
    <t xml:space="preserve">Public assembly - Other assembly </t>
  </si>
  <si>
    <t xml:space="preserve">Public order and safety - Fire or police station </t>
  </si>
  <si>
    <t>Public order and safety - Courthouse or probation office</t>
  </si>
  <si>
    <t xml:space="preserve">Public order and safety - Other public order </t>
  </si>
  <si>
    <t xml:space="preserve">Service - Post office or postal center </t>
  </si>
  <si>
    <t xml:space="preserve">Service - Repair shop </t>
  </si>
  <si>
    <t xml:space="preserve">Service - Vehicle service or repair </t>
  </si>
  <si>
    <t>Service - Vehicle storage or maintenance</t>
  </si>
  <si>
    <t xml:space="preserve">Service - Other service </t>
  </si>
  <si>
    <t>Warehouse and storage - Warehouse, nonrefrigerated</t>
  </si>
  <si>
    <t>Warehouse and storage - Distribution or shipping center, Nonrefrigerated</t>
  </si>
  <si>
    <t>Warehouse and storage - Self storage units, Nonrefrigerated</t>
  </si>
  <si>
    <t xml:space="preserve">Warehouse and storage - Refrigerated </t>
  </si>
  <si>
    <t xml:space="preserve">Other - Laboratory </t>
  </si>
  <si>
    <t>Office</t>
  </si>
  <si>
    <t>Other</t>
  </si>
  <si>
    <t>The database pulls from Building sub categories, regardless of climate region</t>
  </si>
  <si>
    <t>BTU / cf</t>
  </si>
  <si>
    <t>therms/cf</t>
  </si>
  <si>
    <t>Electricity</t>
  </si>
  <si>
    <t>Natural Gas</t>
  </si>
  <si>
    <t>https://www.eia.gov/consumption/commercial/data/2012/c&amp;e/cfm/pba5.php</t>
  </si>
  <si>
    <t>Average (cf/SF)</t>
  </si>
  <si>
    <t>Median (cf/SF)</t>
  </si>
  <si>
    <t>Select Building Type</t>
  </si>
  <si>
    <t>Population</t>
  </si>
  <si>
    <t>1 unit</t>
  </si>
  <si>
    <t>2-4 units</t>
  </si>
  <si>
    <t>5-19 units</t>
  </si>
  <si>
    <t>20-49 units</t>
  </si>
  <si>
    <t>50+ units</t>
  </si>
  <si>
    <t>MH, RV, etc.</t>
  </si>
  <si>
    <t>Total</t>
  </si>
  <si>
    <t>N/A</t>
  </si>
  <si>
    <t>Total Waste (tons)</t>
  </si>
  <si>
    <t>Square Footage</t>
  </si>
  <si>
    <t>Residential</t>
  </si>
  <si>
    <t>Transportation</t>
  </si>
  <si>
    <t>Waste</t>
  </si>
  <si>
    <t>Project Name:</t>
  </si>
  <si>
    <t>RESIDENTIAL PERFORMANCE STANDARD</t>
  </si>
  <si>
    <t>Emissions Per capita</t>
  </si>
  <si>
    <t>Target Reduction (%)</t>
  </si>
  <si>
    <t>Emissions Per SF</t>
  </si>
  <si>
    <t>tons</t>
  </si>
  <si>
    <t>2018 GHG Inventory</t>
  </si>
  <si>
    <t>Waste emissions per ton</t>
  </si>
  <si>
    <t>(Waste + Recycling + Compost)</t>
  </si>
  <si>
    <t>Energy, Residential (Natural Gas)</t>
  </si>
  <si>
    <t>Energy, Residential (Propane)</t>
  </si>
  <si>
    <t>Energy, Residential (Electricity)</t>
  </si>
  <si>
    <t>Energy, Commercial (Natural Gas)</t>
  </si>
  <si>
    <t>Energy, Commercial (Diesel)</t>
  </si>
  <si>
    <t>Energy, Commercial (Propane)</t>
  </si>
  <si>
    <t>Energy, Commercial (Electricity)</t>
  </si>
  <si>
    <t>Transportation (on-road fuel combustion)</t>
  </si>
  <si>
    <t>Transportation (grid supplied energy)</t>
  </si>
  <si>
    <t>Transportation (buses)</t>
  </si>
  <si>
    <t>Transportation (light rail)</t>
  </si>
  <si>
    <t>Waste (residential, 83,144 tons)</t>
  </si>
  <si>
    <t>Waste (commercial, 73,084 tons)</t>
  </si>
  <si>
    <t>Source: 2018 Jefferson County Assessor's Data</t>
  </si>
  <si>
    <t>2018 Lakewood Population</t>
  </si>
  <si>
    <t>Source: 2018 GHG Inventory Data</t>
  </si>
  <si>
    <t>2018 City wide commercial square footage</t>
  </si>
  <si>
    <t>SOURCE DATA</t>
  </si>
  <si>
    <t>2018 LAKEWOOD GHG INVENTORY DATA</t>
  </si>
  <si>
    <t>Building Type</t>
  </si>
  <si>
    <t>Total Households</t>
  </si>
  <si>
    <t>Total Population</t>
  </si>
  <si>
    <t>Average Household Size</t>
  </si>
  <si>
    <t>Emissions Sector</t>
  </si>
  <si>
    <t>3 Year Average</t>
  </si>
  <si>
    <t>Project Address:</t>
  </si>
  <si>
    <t xml:space="preserve">Select Building Type: </t>
  </si>
  <si>
    <t>Proposed Gross Floor Area:</t>
  </si>
  <si>
    <t>Min Unit</t>
  </si>
  <si>
    <t>Max Unit</t>
  </si>
  <si>
    <t>Annual Performance Standard Emissions, Transportation:</t>
  </si>
  <si>
    <t>Annual Performance Standard Emissions, Waste:</t>
  </si>
  <si>
    <t>TOTAL ANNUAL EMISSIONS ALLOWED:</t>
  </si>
  <si>
    <t>1. PERFORMANCE STANDARD</t>
  </si>
  <si>
    <t>ENERGY</t>
  </si>
  <si>
    <t>WASTE</t>
  </si>
  <si>
    <t>3. MITIGATED EMISSIONS</t>
  </si>
  <si>
    <t>Baseline Electricity Use:</t>
  </si>
  <si>
    <t>Baseline Natural Gas Use:</t>
  </si>
  <si>
    <t>Projected Offsite Renewable Electricity Generated:</t>
  </si>
  <si>
    <t>Projected Onsite Renewable Electricity Generated:</t>
  </si>
  <si>
    <t>Baseline Projected Waste Emissions:</t>
  </si>
  <si>
    <t>Landfill Waste Diversion Rate</t>
  </si>
  <si>
    <t>spaces</t>
  </si>
  <si>
    <t>Full building Electrification?</t>
  </si>
  <si>
    <t>Recycling &amp; Composting Contract?</t>
  </si>
  <si>
    <t>Transportation Development Factors</t>
  </si>
  <si>
    <t>Default</t>
  </si>
  <si>
    <t>Multifamily in Transit zone district, Age restricted communities (55+)</t>
  </si>
  <si>
    <t>Non-Residential</t>
  </si>
  <si>
    <t>NON-RESIDENTIAL PERFORMANCE STANDARD</t>
  </si>
  <si>
    <t>Non-residential SF</t>
  </si>
  <si>
    <t>Source:  Technical Support Document: Social Cost of Carbon, Methane, and Nitrous Oxide Interim Estimates under Executive Order 13990 (Feb 2021)</t>
  </si>
  <si>
    <t>YES</t>
  </si>
  <si>
    <t>NO</t>
  </si>
  <si>
    <t>Source</t>
  </si>
  <si>
    <t>Latest published data year (Year 1)</t>
  </si>
  <si>
    <t>Year 10 (Final Fee Year)</t>
  </si>
  <si>
    <t>Projected Natural Gas Use Reduction:</t>
  </si>
  <si>
    <t>2. BASELINE PROJECTED EMISSIONS</t>
  </si>
  <si>
    <t>4. FINAL PROJECTED EMISSIONS</t>
  </si>
  <si>
    <t>Total Emissions Mitigated, Electricity</t>
  </si>
  <si>
    <t>Total Emissions Mitigated, Natural Gas</t>
  </si>
  <si>
    <t>Total Emissions Mitigated, Waste</t>
  </si>
  <si>
    <t>Total Emissions Mitigated, Transportation</t>
  </si>
  <si>
    <t>TOTAL EMISSIONS MITIGATED</t>
  </si>
  <si>
    <t>Final Projected Emissions, Electricity</t>
  </si>
  <si>
    <t>Final Projected Emissions, Natural Gas</t>
  </si>
  <si>
    <t>Final Projected Emissions, Waste</t>
  </si>
  <si>
    <t>5. EMISSIONS ABOVE PERFORMANCE STANDARD</t>
  </si>
  <si>
    <t>Energy - Electricity</t>
  </si>
  <si>
    <t>Energy - Natural Gas</t>
  </si>
  <si>
    <t>Annual Performance Standard Emissions, Energy (Electricity):</t>
  </si>
  <si>
    <t>Annual Performance Standard Emissions, Energy (Natural Gas):</t>
  </si>
  <si>
    <t>6. FEE IN LIEU</t>
  </si>
  <si>
    <t>Social Cost of Carbon</t>
  </si>
  <si>
    <t>FEE IN LIEU, Subtotal</t>
  </si>
  <si>
    <t>FEE in LIEU, TOTAL</t>
  </si>
  <si>
    <t>Electricity Grid Discount</t>
  </si>
  <si>
    <t>TOTAL BASELINE PROJECTED EMISSIONS</t>
  </si>
  <si>
    <t>% Electricity Emissions of Total Final Projected Emissions</t>
  </si>
  <si>
    <t>TOTAL EMISSIONS MITIGATED, TOTAL</t>
  </si>
  <si>
    <t>FINAL PROJECTED EMISSIONS, TOTAL</t>
  </si>
  <si>
    <t xml:space="preserve">3. MITIGATED EMISSIONS </t>
  </si>
  <si>
    <t>470 S Allison Parkway, Lakewood CO 80226</t>
  </si>
  <si>
    <t>These highlighted cells are outputs to the "Applicant Input &amp; Summary" tab</t>
  </si>
  <si>
    <t>Projected Electricity Percent Offset:</t>
  </si>
  <si>
    <t>Projected Electricity Use Reduction:</t>
  </si>
  <si>
    <t>Lakewood Project 1234</t>
  </si>
  <si>
    <t>Proposed Waste Emissions Mitigation:</t>
  </si>
  <si>
    <t>Proposed Transportation Emissions Mitigation:</t>
  </si>
  <si>
    <t>This tab presents source data information for the Performance Standard.</t>
  </si>
  <si>
    <t>This tab present electricity and natural gas use data used to calculate projected energy.</t>
  </si>
  <si>
    <t>This tab presents data used to calculated projected waste emissions.</t>
  </si>
  <si>
    <t>This tab presents data used to calculate projected transportation emissions.</t>
  </si>
  <si>
    <t>This tab presents the standard values used to complete calculations in the worksheet.</t>
  </si>
  <si>
    <t>Xcel grid carbon equivalency projections for electricity</t>
  </si>
  <si>
    <t>Number of Parking Spaces with Above Code EV Charging</t>
  </si>
  <si>
    <t xml:space="preserve">Food sales </t>
  </si>
  <si>
    <t xml:space="preserve">Food service </t>
  </si>
  <si>
    <t>Health care - General</t>
  </si>
  <si>
    <t xml:space="preserve">Healthcare - Inpatient </t>
  </si>
  <si>
    <t xml:space="preserve">Healthcare - Outpatient </t>
  </si>
  <si>
    <t xml:space="preserve">Lodging </t>
  </si>
  <si>
    <t xml:space="preserve">Mercantile </t>
  </si>
  <si>
    <t xml:space="preserve">Mercantile - Retail (other than mall) </t>
  </si>
  <si>
    <t xml:space="preserve">Mercantile - Enclosed and strip malls </t>
  </si>
  <si>
    <t xml:space="preserve">Office </t>
  </si>
  <si>
    <t>Parking structure (standalone, partially enclosed)</t>
  </si>
  <si>
    <t>Sector Type: Energy</t>
  </si>
  <si>
    <t>Sector Type: Waste</t>
  </si>
  <si>
    <t>Sector Type: Transportation</t>
  </si>
  <si>
    <t>Source (Parking structure): Energy Star Portfolio Manager Technical Reference</t>
  </si>
  <si>
    <t>Source: 2018 CBECS (filtered for very cold/cold climate region)</t>
  </si>
  <si>
    <t>2021 Lakewood Population</t>
  </si>
  <si>
    <t>2021 City wide commercial square footage</t>
  </si>
  <si>
    <t>Source: 2021 Jefferson County Assessor's Data</t>
  </si>
  <si>
    <t>Source: 2021 GHG Inventory Data</t>
  </si>
  <si>
    <t>Source: 2021 Lakewood GHG Inventory</t>
  </si>
  <si>
    <t>Xcel Clean Energy Plan 85% Carbon Reduction</t>
  </si>
  <si>
    <t>2018 WASTE EMISSIONS DATA</t>
  </si>
  <si>
    <r>
      <t>mT CO</t>
    </r>
    <r>
      <rPr>
        <vertAlign val="subscript"/>
        <sz val="11"/>
        <color theme="1"/>
        <rFont val="Calibri"/>
        <family val="2"/>
        <scheme val="minor"/>
      </rPr>
      <t>2</t>
    </r>
    <r>
      <rPr>
        <sz val="11"/>
        <color theme="1"/>
        <rFont val="Calibri"/>
        <family val="2"/>
        <scheme val="minor"/>
      </rPr>
      <t>e per tons</t>
    </r>
  </si>
  <si>
    <t>Note: All data from 2021, latest GHG Inventory</t>
  </si>
  <si>
    <r>
      <t>Emissions (mT CO</t>
    </r>
    <r>
      <rPr>
        <vertAlign val="subscript"/>
        <sz val="11"/>
        <color theme="1"/>
        <rFont val="Calibri"/>
        <family val="2"/>
        <scheme val="minor"/>
      </rPr>
      <t>2</t>
    </r>
    <r>
      <rPr>
        <sz val="11"/>
        <color theme="1"/>
        <rFont val="Calibri"/>
        <family val="2"/>
        <scheme val="minor"/>
      </rPr>
      <t>e)</t>
    </r>
  </si>
  <si>
    <r>
      <t>Total Projected Annual CO</t>
    </r>
    <r>
      <rPr>
        <vertAlign val="subscript"/>
        <sz val="11"/>
        <color theme="1"/>
        <rFont val="Calibri"/>
        <family val="2"/>
        <scheme val="minor"/>
      </rPr>
      <t>2</t>
    </r>
    <r>
      <rPr>
        <sz val="11"/>
        <color theme="1"/>
        <rFont val="Calibri"/>
        <family val="2"/>
        <scheme val="minor"/>
      </rPr>
      <t xml:space="preserve"> emissions (Transportation)</t>
    </r>
  </si>
  <si>
    <t>LOGIC ANSWERS</t>
  </si>
  <si>
    <t>The "Performance Standard" is the maximum allowable annual greenhouse gas emissions (energy, waste) associated with the project</t>
  </si>
  <si>
    <t>Energy Model annual electricity use (kwh):</t>
  </si>
  <si>
    <t>Energy Model annual natural gas use (therms):</t>
  </si>
  <si>
    <t>GHG MITIGATION PROGRAM SUMMARY</t>
  </si>
  <si>
    <r>
      <t>metric tons CO</t>
    </r>
    <r>
      <rPr>
        <vertAlign val="subscript"/>
        <sz val="11"/>
        <color theme="1"/>
        <rFont val="Calibri"/>
        <family val="2"/>
        <scheme val="minor"/>
      </rPr>
      <t>2</t>
    </r>
    <r>
      <rPr>
        <sz val="11"/>
        <color theme="1"/>
        <rFont val="Calibri"/>
        <family val="2"/>
        <scheme val="minor"/>
      </rPr>
      <t>/MWh</t>
    </r>
  </si>
  <si>
    <r>
      <t>metric tons CO</t>
    </r>
    <r>
      <rPr>
        <vertAlign val="subscript"/>
        <sz val="11"/>
        <color theme="1"/>
        <rFont val="Calibri"/>
        <family val="2"/>
        <scheme val="minor"/>
      </rPr>
      <t>2</t>
    </r>
    <r>
      <rPr>
        <sz val="11"/>
        <color theme="1"/>
        <rFont val="Calibri"/>
        <family val="2"/>
        <scheme val="minor"/>
      </rPr>
      <t>/kWh</t>
    </r>
  </si>
  <si>
    <r>
      <t>metric tons CO</t>
    </r>
    <r>
      <rPr>
        <vertAlign val="subscript"/>
        <sz val="11"/>
        <color theme="1"/>
        <rFont val="Calibri"/>
        <family val="2"/>
        <scheme val="minor"/>
      </rPr>
      <t>2</t>
    </r>
    <r>
      <rPr>
        <sz val="11"/>
        <color theme="1"/>
        <rFont val="Calibri"/>
        <family val="2"/>
        <scheme val="minor"/>
      </rPr>
      <t>/therm</t>
    </r>
  </si>
  <si>
    <r>
      <t>mT CO</t>
    </r>
    <r>
      <rPr>
        <vertAlign val="subscript"/>
        <sz val="11"/>
        <color theme="1"/>
        <rFont val="Calibri"/>
        <family val="2"/>
        <scheme val="minor"/>
      </rPr>
      <t>2</t>
    </r>
    <r>
      <rPr>
        <sz val="11"/>
        <color theme="1"/>
        <rFont val="Calibri"/>
        <family val="2"/>
        <scheme val="minor"/>
      </rPr>
      <t>e</t>
    </r>
  </si>
  <si>
    <r>
      <t>per mT CO</t>
    </r>
    <r>
      <rPr>
        <vertAlign val="subscript"/>
        <sz val="11"/>
        <color theme="1"/>
        <rFont val="Calibri"/>
        <family val="2"/>
        <scheme val="minor"/>
      </rPr>
      <t>2</t>
    </r>
    <r>
      <rPr>
        <sz val="11"/>
        <color theme="1"/>
        <rFont val="Calibri"/>
        <family val="2"/>
        <scheme val="minor"/>
      </rPr>
      <t>e</t>
    </r>
  </si>
  <si>
    <t xml:space="preserve">The "Final Projected Emissions" are the Baseline Projected Emissions minus the Mitigated Emissions. </t>
  </si>
  <si>
    <t>The "Baseline Projected Emissions" are the projected annual greenhouse gas emissions without any proposed mitigation measures. If an approved Energy Model is submitted, the projected energy will be incorporated into the "Baseline Projected Emissions"</t>
  </si>
  <si>
    <r>
      <t xml:space="preserve">Mitigation Strategy: </t>
    </r>
    <r>
      <rPr>
        <b/>
        <sz val="11"/>
        <color theme="1"/>
        <rFont val="Calibri"/>
        <family val="2"/>
        <scheme val="minor"/>
      </rPr>
      <t>Renewable Electricity - Onsite (Solar PV, Wind)</t>
    </r>
  </si>
  <si>
    <t>The following summary of emissions values are presented for informational purposes. For detailed calculations, please see the "Calculations Details" tab.</t>
  </si>
  <si>
    <r>
      <t>Annual Net Electricity Use CO</t>
    </r>
    <r>
      <rPr>
        <vertAlign val="subscript"/>
        <sz val="11"/>
        <color theme="1"/>
        <rFont val="Calibri"/>
        <family val="2"/>
        <scheme val="minor"/>
      </rPr>
      <t>2</t>
    </r>
    <r>
      <rPr>
        <sz val="11"/>
        <color theme="1"/>
        <rFont val="Calibri"/>
        <family val="2"/>
        <scheme val="minor"/>
      </rPr>
      <t xml:space="preserve"> emissions</t>
    </r>
  </si>
  <si>
    <r>
      <t>Annual Natural Gas Use CO</t>
    </r>
    <r>
      <rPr>
        <vertAlign val="subscript"/>
        <sz val="11"/>
        <color theme="1"/>
        <rFont val="Calibri"/>
        <family val="2"/>
        <scheme val="minor"/>
      </rPr>
      <t>2</t>
    </r>
    <r>
      <rPr>
        <sz val="11"/>
        <color theme="1"/>
        <rFont val="Calibri"/>
        <family val="2"/>
        <scheme val="minor"/>
      </rPr>
      <t xml:space="preserve"> emissions</t>
    </r>
  </si>
  <si>
    <r>
      <t>Total projected annual energy CO</t>
    </r>
    <r>
      <rPr>
        <vertAlign val="subscript"/>
        <sz val="11"/>
        <color theme="1"/>
        <rFont val="Calibri"/>
        <family val="2"/>
        <scheme val="minor"/>
      </rPr>
      <t>2</t>
    </r>
    <r>
      <rPr>
        <sz val="11"/>
        <color theme="1"/>
        <rFont val="Calibri"/>
        <family val="2"/>
        <scheme val="minor"/>
      </rPr>
      <t xml:space="preserve"> emissions</t>
    </r>
  </si>
  <si>
    <r>
      <t>Total projected annual waste CO</t>
    </r>
    <r>
      <rPr>
        <vertAlign val="subscript"/>
        <sz val="11"/>
        <color theme="1"/>
        <rFont val="Calibri"/>
        <family val="2"/>
        <scheme val="minor"/>
      </rPr>
      <t>2</t>
    </r>
    <r>
      <rPr>
        <sz val="11"/>
        <color theme="1"/>
        <rFont val="Calibri"/>
        <family val="2"/>
        <scheme val="minor"/>
      </rPr>
      <t xml:space="preserve"> emissions</t>
    </r>
  </si>
  <si>
    <r>
      <t>Performance Standard per Capita (mT CO</t>
    </r>
    <r>
      <rPr>
        <vertAlign val="subscript"/>
        <sz val="11"/>
        <color theme="1"/>
        <rFont val="Calibri"/>
        <family val="2"/>
        <scheme val="minor"/>
      </rPr>
      <t>2</t>
    </r>
    <r>
      <rPr>
        <sz val="11"/>
        <color theme="1"/>
        <rFont val="Calibri"/>
        <family val="2"/>
        <scheme val="minor"/>
      </rPr>
      <t>e)</t>
    </r>
  </si>
  <si>
    <r>
      <t>Total Emissions (mT CO</t>
    </r>
    <r>
      <rPr>
        <vertAlign val="subscript"/>
        <sz val="11"/>
        <color theme="1"/>
        <rFont val="Calibri"/>
        <family val="2"/>
        <scheme val="minor"/>
      </rPr>
      <t>2</t>
    </r>
    <r>
      <rPr>
        <sz val="11"/>
        <color theme="1"/>
        <rFont val="Calibri"/>
        <family val="2"/>
        <scheme val="minor"/>
      </rPr>
      <t>e)</t>
    </r>
  </si>
  <si>
    <r>
      <t>Performance Standard per SF (mT CO</t>
    </r>
    <r>
      <rPr>
        <vertAlign val="subscript"/>
        <sz val="11"/>
        <color theme="1"/>
        <rFont val="Calibri"/>
        <family val="2"/>
        <scheme val="minor"/>
      </rPr>
      <t>2</t>
    </r>
    <r>
      <rPr>
        <sz val="11"/>
        <color theme="1"/>
        <rFont val="Calibri"/>
        <family val="2"/>
        <scheme val="minor"/>
      </rPr>
      <t>e)</t>
    </r>
  </si>
  <si>
    <r>
      <t>Waste Emissions (mT CO</t>
    </r>
    <r>
      <rPr>
        <vertAlign val="subscript"/>
        <sz val="11"/>
        <color theme="1"/>
        <rFont val="Calibri"/>
        <family val="2"/>
        <scheme val="minor"/>
      </rPr>
      <t>2</t>
    </r>
    <r>
      <rPr>
        <sz val="11"/>
        <color theme="1"/>
        <rFont val="Calibri"/>
        <family val="2"/>
        <scheme val="minor"/>
      </rPr>
      <t>e)</t>
    </r>
  </si>
  <si>
    <r>
      <t>Emissions per capita (mT CO</t>
    </r>
    <r>
      <rPr>
        <vertAlign val="subscript"/>
        <sz val="11"/>
        <color theme="1"/>
        <rFont val="Calibri"/>
        <family val="2"/>
        <scheme val="minor"/>
      </rPr>
      <t>2</t>
    </r>
    <r>
      <rPr>
        <sz val="11"/>
        <color theme="1"/>
        <rFont val="Calibri"/>
        <family val="2"/>
        <scheme val="minor"/>
      </rPr>
      <t>e/person)</t>
    </r>
  </si>
  <si>
    <r>
      <t>Emissions per area (mT CO</t>
    </r>
    <r>
      <rPr>
        <vertAlign val="subscript"/>
        <sz val="11"/>
        <color theme="1"/>
        <rFont val="Calibri"/>
        <family val="2"/>
        <scheme val="minor"/>
      </rPr>
      <t>2</t>
    </r>
    <r>
      <rPr>
        <sz val="11"/>
        <color theme="1"/>
        <rFont val="Calibri"/>
        <family val="2"/>
        <scheme val="minor"/>
      </rPr>
      <t>e/SF)</t>
    </r>
  </si>
  <si>
    <r>
      <t>Social Cost of Carbon: Cost per metric ton of CO</t>
    </r>
    <r>
      <rPr>
        <vertAlign val="subscript"/>
        <sz val="11"/>
        <color theme="1"/>
        <rFont val="Calibri"/>
        <family val="2"/>
        <scheme val="minor"/>
      </rPr>
      <t>2</t>
    </r>
    <r>
      <rPr>
        <sz val="11"/>
        <color theme="1"/>
        <rFont val="Calibri"/>
        <family val="2"/>
        <scheme val="minor"/>
      </rPr>
      <t>e</t>
    </r>
  </si>
  <si>
    <t>Google Environmental Insights Explorer (updated Dec 2023)</t>
  </si>
  <si>
    <t>Fee in Lieu of Compliance (due prior to permit approval)</t>
  </si>
  <si>
    <t>American Community Survey 1-Year Estimates Data Profiles - Census Bureau</t>
  </si>
  <si>
    <t>2022 HOUSING TYPE DATA</t>
  </si>
  <si>
    <t>Source: 2022 American Community Survey 5-Year Estimates Table B25124</t>
  </si>
  <si>
    <t>If an energy model is being submitted, enter in the following information. Otherwise, leave blank (not "0").</t>
  </si>
  <si>
    <r>
      <t>Proposed Electricity CO</t>
    </r>
    <r>
      <rPr>
        <vertAlign val="subscript"/>
        <sz val="11"/>
        <color theme="1"/>
        <rFont val="Calibri"/>
        <family val="2"/>
        <scheme val="minor"/>
      </rPr>
      <t>2</t>
    </r>
    <r>
      <rPr>
        <sz val="11"/>
        <color theme="1"/>
        <rFont val="Calibri"/>
        <family val="2"/>
        <scheme val="minor"/>
      </rPr>
      <t>e Mitigation:</t>
    </r>
  </si>
  <si>
    <r>
      <t>Proposed Natural Gas CO</t>
    </r>
    <r>
      <rPr>
        <vertAlign val="subscript"/>
        <sz val="11"/>
        <color theme="1"/>
        <rFont val="Calibri"/>
        <family val="2"/>
        <scheme val="minor"/>
      </rPr>
      <t>2</t>
    </r>
    <r>
      <rPr>
        <sz val="11"/>
        <color theme="1"/>
        <rFont val="Calibri"/>
        <family val="2"/>
        <scheme val="minor"/>
      </rPr>
      <t>e Mitigation:</t>
    </r>
  </si>
  <si>
    <r>
      <t>GHG Emissions 
(mT CO</t>
    </r>
    <r>
      <rPr>
        <vertAlign val="subscript"/>
        <sz val="11"/>
        <color theme="1"/>
        <rFont val="Calibri"/>
        <family val="2"/>
        <scheme val="minor"/>
      </rPr>
      <t>2</t>
    </r>
    <r>
      <rPr>
        <sz val="11"/>
        <color theme="1"/>
        <rFont val="Calibri"/>
        <family val="2"/>
        <scheme val="minor"/>
      </rPr>
      <t>e)</t>
    </r>
  </si>
  <si>
    <r>
      <t>mT CO</t>
    </r>
    <r>
      <rPr>
        <vertAlign val="subscript"/>
        <sz val="11"/>
        <rFont val="Calibri"/>
        <family val="2"/>
        <scheme val="minor"/>
      </rPr>
      <t>2</t>
    </r>
    <r>
      <rPr>
        <sz val="11"/>
        <rFont val="Calibri"/>
        <family val="2"/>
        <scheme val="minor"/>
      </rPr>
      <t>e</t>
    </r>
  </si>
  <si>
    <t>Electricity Grid Emissions Discount</t>
  </si>
  <si>
    <t>Electricity Grid Discount Factor</t>
  </si>
  <si>
    <t>Non-Residential Greenhouse Gas Mitigation Program Applicant Worksheet</t>
  </si>
  <si>
    <r>
      <t>Applicability</t>
    </r>
    <r>
      <rPr>
        <sz val="11"/>
        <color theme="1"/>
        <rFont val="Calibri"/>
        <family val="2"/>
        <scheme val="minor"/>
      </rPr>
      <t xml:space="preserve">
This worksheet must be submitted with Major Site Plan applications for new construction of non-residential buildings and non-residential portions of mixed-use buildings. </t>
    </r>
  </si>
  <si>
    <r>
      <rPr>
        <u/>
        <sz val="11"/>
        <color theme="1"/>
        <rFont val="Calibri"/>
        <family val="2"/>
        <scheme val="minor"/>
      </rPr>
      <t>Instructions</t>
    </r>
    <r>
      <rPr>
        <sz val="11"/>
        <color theme="1"/>
        <rFont val="Calibri"/>
        <family val="2"/>
        <scheme val="minor"/>
      </rPr>
      <t xml:space="preserve">
</t>
    </r>
    <r>
      <rPr>
        <b/>
        <sz val="11"/>
        <color theme="1"/>
        <rFont val="Calibri"/>
        <family val="2"/>
        <scheme val="minor"/>
      </rPr>
      <t>Enter in the project information in the highlighted boxes below.</t>
    </r>
    <r>
      <rPr>
        <sz val="11"/>
        <color theme="1"/>
        <rFont val="Calibri"/>
        <family val="2"/>
        <scheme val="minor"/>
      </rPr>
      <t xml:space="preserve"> If mitigation strategies are being implemented, also fill in the "Mitigation Strategies Input" tab highlighted in green below. All other tabs are provided for reference only.</t>
    </r>
  </si>
  <si>
    <r>
      <t xml:space="preserve">When completed, upload this worksheet to the </t>
    </r>
    <r>
      <rPr>
        <sz val="11"/>
        <color theme="8" tint="-0.249977111117893"/>
        <rFont val="Calibri"/>
        <family val="2"/>
        <scheme val="minor"/>
      </rPr>
      <t>project/permit on eTRAKiT</t>
    </r>
    <r>
      <rPr>
        <sz val="11"/>
        <color theme="1"/>
        <rFont val="Calibri"/>
        <family val="2"/>
        <scheme val="minor"/>
      </rPr>
      <t>.</t>
    </r>
  </si>
  <si>
    <t>Additional Resources</t>
  </si>
  <si>
    <t xml:space="preserve">GHG Mitigation Program Resource Guide </t>
  </si>
  <si>
    <t>Sustainable Development Standards website</t>
  </si>
  <si>
    <t>Emissions Exceeding Performance Standard</t>
  </si>
  <si>
    <t>Mitigated Emissions are the projected annual emissions reductions associated with selected mitigation strategies. Mitigation strategies can be entered in the "Mitigated Strategies Input" tab</t>
  </si>
  <si>
    <t xml:space="preserve">Non-Residential Greenhouse Gas Mitigation Program Applicant Worksheet </t>
  </si>
  <si>
    <t>Mitigation Strategies Input</t>
  </si>
  <si>
    <r>
      <t xml:space="preserve">Mitigation Strategy: </t>
    </r>
    <r>
      <rPr>
        <b/>
        <sz val="11"/>
        <color theme="1"/>
        <rFont val="Calibri"/>
        <family val="2"/>
        <scheme val="minor"/>
      </rPr>
      <t>Renewable Electricity - Offsite (Solar PV / Wind)</t>
    </r>
  </si>
  <si>
    <r>
      <t xml:space="preserve">Mitigation Strategy: </t>
    </r>
    <r>
      <rPr>
        <b/>
        <sz val="11"/>
        <color theme="1"/>
        <rFont val="Calibri"/>
        <family val="2"/>
        <scheme val="minor"/>
      </rPr>
      <t>Renewable Energy Systems (not including Solar PV/Wind)</t>
    </r>
  </si>
  <si>
    <r>
      <t xml:space="preserve">Mitigation Strategy: </t>
    </r>
    <r>
      <rPr>
        <b/>
        <sz val="11"/>
        <color theme="1"/>
        <rFont val="Calibri"/>
        <family val="2"/>
        <scheme val="minor"/>
      </rPr>
      <t>Building Electrification</t>
    </r>
  </si>
  <si>
    <r>
      <t xml:space="preserve">Mitigation Strategy: </t>
    </r>
    <r>
      <rPr>
        <b/>
        <sz val="11"/>
        <color theme="1"/>
        <rFont val="Calibri"/>
        <family val="2"/>
        <scheme val="minor"/>
      </rPr>
      <t>Recycling and Composting Contracts</t>
    </r>
  </si>
  <si>
    <r>
      <t xml:space="preserve">Mitigation Strategy: </t>
    </r>
    <r>
      <rPr>
        <b/>
        <sz val="11"/>
        <color theme="1"/>
        <rFont val="Calibri"/>
        <family val="2"/>
        <scheme val="minor"/>
      </rPr>
      <t>EV Parking Above Code</t>
    </r>
  </si>
  <si>
    <r>
      <rPr>
        <u/>
        <sz val="11"/>
        <color theme="1"/>
        <rFont val="Calibri"/>
        <family val="2"/>
        <scheme val="minor"/>
      </rPr>
      <t>Instructions</t>
    </r>
    <r>
      <rPr>
        <sz val="11"/>
        <color theme="1"/>
        <rFont val="Calibri"/>
        <family val="2"/>
        <scheme val="minor"/>
      </rPr>
      <t xml:space="preserve">
Enter in requested information in the highlighted boxes for each applicable proposed mitigation strategy. If a strategy is not being used, leave that section as "0" or "NO". If an energy model is submitted, only input mitigation strategies not included in the model. For detailed instructions and documentation requirements, refer to the </t>
    </r>
    <r>
      <rPr>
        <u/>
        <sz val="11"/>
        <color theme="8" tint="-0.249977111117893"/>
        <rFont val="Calibri"/>
        <family val="2"/>
        <scheme val="minor"/>
      </rPr>
      <t>"GHG Mitigation Program Resource Guide"</t>
    </r>
    <r>
      <rPr>
        <sz val="11"/>
        <color theme="1"/>
        <rFont val="Calibri"/>
        <family val="2"/>
        <scheme val="minor"/>
      </rPr>
      <t xml:space="preserve"> on the </t>
    </r>
    <r>
      <rPr>
        <u/>
        <sz val="11"/>
        <color theme="8" tint="-0.249977111117893"/>
        <rFont val="Calibri"/>
        <family val="2"/>
        <scheme val="minor"/>
      </rPr>
      <t>Sustainable Development Standards website.</t>
    </r>
  </si>
  <si>
    <t>This tab presents detailed calculations used to determine emissions and applicable fees. Data sources for these calculations can be on the subsequent tabs.</t>
  </si>
  <si>
    <t>5. EMISSIONS EXCEEDING PERFORMANCE STANDARD</t>
  </si>
  <si>
    <t>EMISSIONS EXCEEDING PERFORMANCE STANDARD, TOTAL</t>
  </si>
  <si>
    <t>If the "Emissions Above Performance Standard" equals zero, the project is in compliance. Otherwise, a fee in lieu of compliance is required.</t>
  </si>
  <si>
    <t>Colorado average 2018-2023</t>
  </si>
  <si>
    <t>2023 Xcel Community Report - Climate Registry Protocol estimate</t>
  </si>
  <si>
    <t xml:space="preserve"> (updated 7/3/24)</t>
  </si>
  <si>
    <r>
      <t>mT CO</t>
    </r>
    <r>
      <rPr>
        <b/>
        <vertAlign val="subscript"/>
        <sz val="11"/>
        <rFont val="Calibri"/>
        <family val="2"/>
        <scheme val="minor"/>
      </rPr>
      <t>2</t>
    </r>
    <r>
      <rPr>
        <b/>
        <sz val="11"/>
        <rFont val="Calibri"/>
        <family val="2"/>
        <scheme val="minor"/>
      </rPr>
      <t>e per person</t>
    </r>
  </si>
  <si>
    <t>-</t>
  </si>
  <si>
    <t>The "Fee in Lieu" is the fee in lieu of compliance and represents 10 years' worth of GHG emissions exceeding the performance standard, based on the Social Cost of Carbon.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</si>
</sst>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0.0"/>
    <numFmt numFmtId="165" formatCode="0.0"/>
    <numFmt numFmtId="166" formatCode="_(* #,##0.0_);_(* \(#,##0.0\);_(* &quot;-&quot;??_);_(@_)"/>
    <numFmt numFmtId="167" formatCode="_(* #,##0_);_(* \(#,##0\);_(* &quot;-&quot;??_);_(@_)"/>
    <numFmt numFmtId="168" formatCode="0.00000"/>
    <numFmt numFmtId="169" formatCode="0.000"/>
    <numFmt numFmtId="170" formatCode="0.0000"/>
    <numFmt numFmtId="171" formatCode="0.000000"/>
    <numFmt numFmtId="172" formatCode="0.0%"/>
    <numFmt numFmtId="173" formatCode="_(&quot;$&quot;* #,##0_);_(&quot;$&quot;* \(#,##0\);_(&quot;$&quot;* &quot;-&quot;??_);_(@_)"/>
    <numFmt numFmtId="174" formatCode="&quot;$&quot;#,##0"/>
    <numFmt numFmtId="175" formatCode="\ \ "/>
    <numFmt numFmtId="176" formatCode="&quot; &quot;"/>
  </numFmts>
  <fonts count="44" x14ac:knownFonts="1">
    <font>
      <sz val="11"/>
      <color theme="1"/>
      <name val="Calibri"/>
      <family val="2"/>
      <scheme val="minor"/>
    </font>
    <font>
      <sz val="11"/>
      <color theme="1"/>
      <name val="Calibri"/>
      <family val="2"/>
      <scheme val="minor"/>
    </font>
    <font>
      <sz val="11"/>
      <color theme="0" tint="-0.499984740745262"/>
      <name val="Calibri"/>
      <family val="2"/>
      <scheme val="minor"/>
    </font>
    <font>
      <b/>
      <sz val="12"/>
      <color theme="4"/>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vertAlign val="superscript"/>
      <sz val="10"/>
      <color theme="1"/>
      <name val="Calibri"/>
      <family val="2"/>
      <scheme val="minor"/>
    </font>
    <font>
      <vertAlign val="superscript"/>
      <sz val="9"/>
      <color theme="1"/>
      <name val="Calibri"/>
      <family val="2"/>
      <scheme val="minor"/>
    </font>
    <font>
      <i/>
      <sz val="9"/>
      <color theme="1"/>
      <name val="Calibri"/>
      <family val="2"/>
      <scheme val="minor"/>
    </font>
    <font>
      <u/>
      <sz val="11"/>
      <color theme="10"/>
      <name val="Calibri"/>
      <family val="2"/>
      <scheme val="minor"/>
    </font>
    <font>
      <sz val="1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color theme="1"/>
      <name val="Calibri"/>
      <family val="2"/>
      <scheme val="minor"/>
    </font>
    <font>
      <u/>
      <sz val="11"/>
      <color theme="1"/>
      <name val="Calibri"/>
      <family val="2"/>
      <scheme val="minor"/>
    </font>
    <font>
      <vertAlign val="subscript"/>
      <sz val="11"/>
      <color theme="1"/>
      <name val="Calibri"/>
      <family val="2"/>
      <scheme val="minor"/>
    </font>
    <font>
      <vertAlign val="subscript"/>
      <sz val="11"/>
      <name val="Calibri"/>
      <family val="2"/>
      <scheme val="minor"/>
    </font>
    <font>
      <b/>
      <i/>
      <sz val="11"/>
      <color theme="1"/>
      <name val="Calibri"/>
      <family val="2"/>
      <scheme val="minor"/>
    </font>
    <font>
      <b/>
      <sz val="14"/>
      <color theme="1"/>
      <name val="Calibri"/>
      <family val="2"/>
      <scheme val="minor"/>
    </font>
    <font>
      <sz val="11"/>
      <color theme="8" tint="-0.249977111117893"/>
      <name val="Calibri"/>
      <family val="2"/>
      <scheme val="minor"/>
    </font>
    <font>
      <i/>
      <u/>
      <sz val="11"/>
      <color theme="10"/>
      <name val="Calibri"/>
      <family val="2"/>
      <scheme val="minor"/>
    </font>
    <font>
      <sz val="14"/>
      <color theme="1"/>
      <name val="Calibri"/>
      <family val="2"/>
      <scheme val="minor"/>
    </font>
    <font>
      <u/>
      <sz val="11"/>
      <color theme="8" tint="-0.249977111117893"/>
      <name val="Calibri"/>
      <family val="2"/>
      <scheme val="minor"/>
    </font>
    <font>
      <b/>
      <sz val="13"/>
      <color theme="1"/>
      <name val="Calibri"/>
      <family val="2"/>
      <scheme val="minor"/>
    </font>
    <font>
      <sz val="13"/>
      <color theme="1"/>
      <name val="Calibri"/>
      <family val="2"/>
      <scheme val="minor"/>
    </font>
    <font>
      <b/>
      <sz val="11"/>
      <name val="Calibri"/>
      <family val="2"/>
      <scheme val="minor"/>
    </font>
    <font>
      <b/>
      <vertAlign val="subscript"/>
      <sz val="11"/>
      <name val="Calibri"/>
      <family val="2"/>
      <scheme val="minor"/>
    </font>
    <font>
      <i/>
      <sz val="11"/>
      <name val="Calibri"/>
      <family val="2"/>
      <scheme val="minor"/>
    </font>
  </fonts>
  <fills count="39">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8" tint="0.79998168889431442"/>
        <bgColor indexed="64"/>
      </patternFill>
    </fill>
  </fills>
  <borders count="54">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ck">
        <color theme="4"/>
      </bottom>
      <diagonal/>
    </border>
    <border>
      <left/>
      <right/>
      <top/>
      <bottom style="thin">
        <color theme="0" tint="-0.24994659260841701"/>
      </bottom>
      <diagonal/>
    </border>
    <border>
      <left/>
      <right/>
      <top style="thin">
        <color theme="0" tint="-0.24994659260841701"/>
      </top>
      <bottom/>
      <diagonal/>
    </border>
    <border>
      <left/>
      <right/>
      <top/>
      <bottom style="dashed">
        <color theme="0" tint="-0.24994659260841701"/>
      </bottom>
      <diagonal/>
    </border>
    <border>
      <left/>
      <right/>
      <top/>
      <bottom style="thin">
        <color theme="0" tint="-0.249977111117893"/>
      </bottom>
      <diagonal/>
    </border>
    <border>
      <left/>
      <right/>
      <top style="dashed">
        <color theme="0" tint="-0.24994659260841701"/>
      </top>
      <bottom style="dashed">
        <color theme="0" tint="-0.24994659260841701"/>
      </bottom>
      <diagonal/>
    </border>
    <border>
      <left/>
      <right/>
      <top style="medium">
        <color theme="4"/>
      </top>
      <bottom/>
      <diagonal/>
    </border>
    <border>
      <left style="thick">
        <color theme="0"/>
      </left>
      <right/>
      <top/>
      <bottom style="thin">
        <color theme="0" tint="-0.24994659260841701"/>
      </bottom>
      <diagonal/>
    </border>
    <border>
      <left style="thin">
        <color indexed="64"/>
      </left>
      <right style="thin">
        <color indexed="64"/>
      </right>
      <top style="thin">
        <color indexed="64"/>
      </top>
      <bottom style="thin">
        <color indexed="64"/>
      </bottom>
      <diagonal/>
    </border>
    <border>
      <left/>
      <right/>
      <top style="thin">
        <color indexed="64"/>
      </top>
      <bottom style="dashed">
        <color theme="0" tint="-0.24994659260841701"/>
      </bottom>
      <diagonal/>
    </border>
    <border>
      <left/>
      <right style="thin">
        <color indexed="64"/>
      </right>
      <top style="thin">
        <color indexed="64"/>
      </top>
      <bottom style="dashed">
        <color theme="0" tint="-0.24994659260841701"/>
      </bottom>
      <diagonal/>
    </border>
    <border>
      <left/>
      <right style="thin">
        <color indexed="64"/>
      </right>
      <top/>
      <bottom style="dashed">
        <color theme="0" tint="-0.2499465926084170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ashed">
        <color theme="0" tint="-0.24994659260841701"/>
      </top>
      <bottom style="dashed">
        <color theme="0" tint="-0.24994659260841701"/>
      </bottom>
      <diagonal/>
    </border>
    <border>
      <left style="thin">
        <color indexed="64"/>
      </left>
      <right/>
      <top style="thin">
        <color indexed="64"/>
      </top>
      <bottom style="dashed">
        <color theme="0" tint="-0.24994659260841701"/>
      </bottom>
      <diagonal/>
    </border>
    <border>
      <left style="thin">
        <color indexed="64"/>
      </left>
      <right/>
      <top/>
      <bottom style="dashed">
        <color theme="0" tint="-0.24994659260841701"/>
      </bottom>
      <diagonal/>
    </border>
    <border>
      <left/>
      <right style="thin">
        <color indexed="64"/>
      </right>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theme="0" tint="-0.24994659260841701"/>
      </top>
      <bottom style="thin">
        <color indexed="64"/>
      </bottom>
      <diagonal/>
    </border>
    <border>
      <left/>
      <right style="thin">
        <color indexed="64"/>
      </right>
      <top style="dashed">
        <color theme="0"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theme="0" tint="-0.24994659260841701"/>
      </bottom>
      <diagonal/>
    </border>
    <border>
      <left style="thin">
        <color indexed="64"/>
      </left>
      <right style="thin">
        <color indexed="64"/>
      </right>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64"/>
      </left>
      <right/>
      <top/>
      <bottom style="thin">
        <color theme="0" tint="-0.249977111117893"/>
      </bottom>
      <diagonal/>
    </border>
    <border>
      <left style="thin">
        <color indexed="64"/>
      </left>
      <right/>
      <top style="dashed">
        <color theme="0" tint="-0.24994659260841701"/>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9.9978637043366805E-2"/>
      </left>
      <right style="thin">
        <color theme="2" tint="-9.9978637043366805E-2"/>
      </right>
      <top style="thin">
        <color theme="2" tint="-9.9978637043366805E-2"/>
      </top>
      <bottom/>
      <diagonal/>
    </border>
    <border>
      <left/>
      <right style="thin">
        <color theme="2" tint="-9.9978637043366805E-2"/>
      </right>
      <top style="thin">
        <color theme="2" tint="-9.9978637043366805E-2"/>
      </top>
      <bottom style="thin">
        <color theme="2" tint="-9.9978637043366805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s>
  <cellStyleXfs count="51">
    <xf numFmtId="0" fontId="0" fillId="0" borderId="0"/>
    <xf numFmtId="43" fontId="1" fillId="0" borderId="0" applyFont="0" applyFill="0" applyBorder="0" applyAlignment="0" applyProtection="0"/>
    <xf numFmtId="0" fontId="3" fillId="0" borderId="0" applyNumberFormat="0" applyProtection="0">
      <alignment horizontal="left"/>
    </xf>
    <xf numFmtId="0" fontId="5" fillId="0" borderId="2" applyNumberFormat="0" applyProtection="0">
      <alignment wrapText="1"/>
    </xf>
    <xf numFmtId="0" fontId="6" fillId="0" borderId="5" applyNumberFormat="0" applyFont="0" applyProtection="0">
      <alignment wrapText="1"/>
    </xf>
    <xf numFmtId="0" fontId="5" fillId="0" borderId="6" applyNumberFormat="0" applyProtection="0">
      <alignment wrapText="1"/>
    </xf>
    <xf numFmtId="0" fontId="6" fillId="0" borderId="8" applyNumberFormat="0" applyProtection="0">
      <alignment vertical="top" wrapText="1"/>
    </xf>
    <xf numFmtId="0" fontId="11"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2" applyNumberFormat="0" applyFill="0" applyAlignment="0" applyProtection="0"/>
    <xf numFmtId="0" fontId="16" fillId="0" borderId="34" applyNumberFormat="0" applyFill="0" applyAlignment="0" applyProtection="0"/>
    <xf numFmtId="0" fontId="17" fillId="0" borderId="35" applyNumberFormat="0" applyFill="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36" applyNumberFormat="0" applyAlignment="0" applyProtection="0"/>
    <xf numFmtId="0" fontId="22" fillId="10" borderId="37" applyNumberFormat="0" applyAlignment="0" applyProtection="0"/>
    <xf numFmtId="0" fontId="23" fillId="10" borderId="36" applyNumberFormat="0" applyAlignment="0" applyProtection="0"/>
    <xf numFmtId="0" fontId="24" fillId="0" borderId="38" applyNumberFormat="0" applyFill="0" applyAlignment="0" applyProtection="0"/>
    <xf numFmtId="0" fontId="25" fillId="11" borderId="39" applyNumberFormat="0" applyAlignment="0" applyProtection="0"/>
    <xf numFmtId="0" fontId="26" fillId="0" borderId="0" applyNumberFormat="0" applyFill="0" applyBorder="0" applyAlignment="0" applyProtection="0"/>
    <xf numFmtId="0" fontId="1" fillId="12" borderId="40" applyNumberFormat="0" applyFont="0" applyAlignment="0" applyProtection="0"/>
    <xf numFmtId="0" fontId="27" fillId="0" borderId="0" applyNumberFormat="0" applyFill="0" applyBorder="0" applyAlignment="0" applyProtection="0"/>
    <xf numFmtId="0" fontId="13" fillId="0" borderId="41" applyNumberFormat="0" applyFill="0" applyAlignment="0" applyProtection="0"/>
    <xf numFmtId="0" fontId="2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cellStyleXfs>
  <cellXfs count="226">
    <xf numFmtId="0" fontId="0" fillId="0" borderId="0" xfId="0"/>
    <xf numFmtId="0" fontId="0" fillId="0" borderId="1" xfId="0" applyBorder="1"/>
    <xf numFmtId="0" fontId="0" fillId="3" borderId="1" xfId="0" applyFill="1" applyBorder="1"/>
    <xf numFmtId="0" fontId="0" fillId="0" borderId="1" xfId="0" applyBorder="1" applyAlignment="1">
      <alignment horizontal="right"/>
    </xf>
    <xf numFmtId="0" fontId="2" fillId="0" borderId="0" xfId="0" applyFont="1" applyAlignment="1">
      <alignment wrapText="1"/>
    </xf>
    <xf numFmtId="3" fontId="0" fillId="0" borderId="0" xfId="0" applyNumberFormat="1"/>
    <xf numFmtId="0" fontId="3" fillId="0" borderId="0" xfId="2" applyAlignment="1">
      <alignment horizontal="left" wrapText="1"/>
    </xf>
    <xf numFmtId="0" fontId="7" fillId="0" borderId="0" xfId="4" applyFont="1" applyBorder="1" applyAlignment="1">
      <alignment horizontal="left" wrapText="1" indent="1"/>
    </xf>
    <xf numFmtId="0" fontId="4" fillId="0" borderId="4" xfId="3" applyFont="1" applyBorder="1" applyAlignment="1">
      <alignment horizontal="center" wrapText="1"/>
    </xf>
    <xf numFmtId="0" fontId="11" fillId="0" borderId="0" xfId="7"/>
    <xf numFmtId="166" fontId="0" fillId="0" borderId="1" xfId="1" applyNumberFormat="1" applyFont="1" applyBorder="1"/>
    <xf numFmtId="167" fontId="0" fillId="0" borderId="1" xfId="1" applyNumberFormat="1" applyFont="1" applyBorder="1"/>
    <xf numFmtId="167" fontId="0" fillId="3" borderId="1" xfId="1" applyNumberFormat="1" applyFont="1" applyFill="1" applyBorder="1"/>
    <xf numFmtId="167" fontId="0" fillId="2" borderId="1" xfId="1" applyNumberFormat="1" applyFont="1" applyFill="1" applyBorder="1"/>
    <xf numFmtId="166" fontId="0" fillId="0" borderId="1" xfId="0" applyNumberFormat="1" applyBorder="1"/>
    <xf numFmtId="0" fontId="4" fillId="0" borderId="0" xfId="0" applyFont="1" applyAlignment="1">
      <alignment horizontal="center" wrapText="1"/>
    </xf>
    <xf numFmtId="0" fontId="7" fillId="0" borderId="11" xfId="4" applyFont="1" applyBorder="1" applyAlignment="1">
      <alignment horizontal="left" wrapText="1" indent="1"/>
    </xf>
    <xf numFmtId="0" fontId="7" fillId="0" borderId="5" xfId="4" applyFont="1" applyAlignment="1">
      <alignment horizontal="left" wrapText="1" indent="1"/>
    </xf>
    <xf numFmtId="0" fontId="7" fillId="0" borderId="5" xfId="4" applyFont="1" applyAlignment="1">
      <alignment horizontal="left" wrapText="1" indent="2"/>
    </xf>
    <xf numFmtId="0" fontId="7" fillId="0" borderId="15" xfId="4" applyFont="1" applyBorder="1" applyAlignment="1">
      <alignment horizontal="left" wrapText="1" indent="1"/>
    </xf>
    <xf numFmtId="0" fontId="7" fillId="0" borderId="15" xfId="4" applyFont="1" applyBorder="1" applyAlignment="1">
      <alignment horizontal="left" wrapText="1" indent="2"/>
    </xf>
    <xf numFmtId="0" fontId="7" fillId="0" borderId="11" xfId="4" applyFont="1" applyBorder="1" applyAlignment="1">
      <alignment horizontal="left" wrapText="1" indent="2"/>
    </xf>
    <xf numFmtId="164" fontId="7" fillId="0" borderId="11" xfId="4" applyNumberFormat="1" applyFont="1" applyBorder="1" applyAlignment="1">
      <alignment horizontal="right" wrapText="1"/>
    </xf>
    <xf numFmtId="164" fontId="7" fillId="0" borderId="12" xfId="4" applyNumberFormat="1" applyFont="1" applyBorder="1" applyAlignment="1">
      <alignment horizontal="right" wrapText="1"/>
    </xf>
    <xf numFmtId="164" fontId="7" fillId="0" borderId="5" xfId="4" applyNumberFormat="1" applyFont="1" applyAlignment="1">
      <alignment horizontal="right" wrapText="1"/>
    </xf>
    <xf numFmtId="164" fontId="7" fillId="0" borderId="13" xfId="4" applyNumberFormat="1" applyFont="1" applyBorder="1" applyAlignment="1">
      <alignment horizontal="right" wrapText="1"/>
    </xf>
    <xf numFmtId="164" fontId="7" fillId="0" borderId="15" xfId="4" applyNumberFormat="1" applyFont="1" applyBorder="1" applyAlignment="1">
      <alignment horizontal="right" wrapText="1"/>
    </xf>
    <xf numFmtId="164" fontId="7" fillId="0" borderId="16" xfId="4" applyNumberFormat="1" applyFont="1" applyBorder="1" applyAlignment="1">
      <alignment horizontal="right" wrapText="1"/>
    </xf>
    <xf numFmtId="0" fontId="7" fillId="0" borderId="22" xfId="4" applyFont="1" applyBorder="1">
      <alignment wrapText="1"/>
    </xf>
    <xf numFmtId="164" fontId="7" fillId="0" borderId="22" xfId="4" applyNumberFormat="1" applyFont="1" applyBorder="1" applyAlignment="1">
      <alignment horizontal="right" wrapText="1"/>
    </xf>
    <xf numFmtId="164" fontId="7" fillId="0" borderId="23" xfId="4" applyNumberFormat="1" applyFont="1" applyBorder="1" applyAlignment="1">
      <alignment horizontal="right" wrapText="1"/>
    </xf>
    <xf numFmtId="0" fontId="7" fillId="0" borderId="10" xfId="4" applyFont="1" applyBorder="1">
      <alignment wrapText="1"/>
    </xf>
    <xf numFmtId="164" fontId="7" fillId="0" borderId="18" xfId="4" applyNumberFormat="1" applyFont="1" applyBorder="1" applyAlignment="1">
      <alignment horizontal="right" wrapText="1"/>
    </xf>
    <xf numFmtId="164" fontId="7" fillId="0" borderId="19" xfId="4" applyNumberFormat="1" applyFont="1" applyBorder="1" applyAlignment="1">
      <alignment horizontal="right" wrapText="1"/>
    </xf>
    <xf numFmtId="164" fontId="7" fillId="0" borderId="14" xfId="4" applyNumberFormat="1" applyFont="1" applyBorder="1" applyAlignment="1">
      <alignment horizontal="right" wrapText="1"/>
    </xf>
    <xf numFmtId="164" fontId="7" fillId="0" borderId="21" xfId="4" applyNumberFormat="1" applyFont="1" applyBorder="1" applyAlignment="1">
      <alignment horizontal="right" wrapText="1"/>
    </xf>
    <xf numFmtId="0" fontId="7" fillId="4" borderId="11" xfId="4" applyFont="1" applyFill="1" applyBorder="1" applyAlignment="1">
      <alignment horizontal="left" wrapText="1" indent="1"/>
    </xf>
    <xf numFmtId="164" fontId="7" fillId="4" borderId="18" xfId="5" applyNumberFormat="1" applyFont="1" applyFill="1" applyBorder="1" applyAlignment="1">
      <alignment horizontal="right" wrapText="1"/>
    </xf>
    <xf numFmtId="164" fontId="7" fillId="4" borderId="11" xfId="5" applyNumberFormat="1" applyFont="1" applyFill="1" applyBorder="1" applyAlignment="1">
      <alignment horizontal="right" wrapText="1"/>
    </xf>
    <xf numFmtId="164" fontId="7" fillId="4" borderId="12" xfId="5" applyNumberFormat="1" applyFont="1" applyFill="1" applyBorder="1" applyAlignment="1">
      <alignment horizontal="right" wrapText="1"/>
    </xf>
    <xf numFmtId="0" fontId="7" fillId="4" borderId="5" xfId="4" applyFont="1" applyFill="1" applyAlignment="1">
      <alignment horizontal="left" wrapText="1" indent="1"/>
    </xf>
    <xf numFmtId="164" fontId="7" fillId="4" borderId="31" xfId="4" applyNumberFormat="1" applyFont="1" applyFill="1" applyBorder="1" applyAlignment="1">
      <alignment horizontal="right" wrapText="1"/>
    </xf>
    <xf numFmtId="164" fontId="7" fillId="4" borderId="7" xfId="4" applyNumberFormat="1" applyFont="1" applyFill="1" applyBorder="1" applyAlignment="1">
      <alignment horizontal="right" wrapText="1"/>
    </xf>
    <xf numFmtId="164" fontId="7" fillId="4" borderId="17" xfId="4" applyNumberFormat="1" applyFont="1" applyFill="1" applyBorder="1" applyAlignment="1">
      <alignment horizontal="right" wrapText="1"/>
    </xf>
    <xf numFmtId="0" fontId="7" fillId="4" borderId="15" xfId="4" applyFont="1" applyFill="1" applyBorder="1" applyAlignment="1">
      <alignment horizontal="left" wrapText="1" indent="1"/>
    </xf>
    <xf numFmtId="164" fontId="7" fillId="4" borderId="14" xfId="4" applyNumberFormat="1" applyFont="1" applyFill="1" applyBorder="1" applyAlignment="1">
      <alignment horizontal="right" wrapText="1"/>
    </xf>
    <xf numFmtId="164" fontId="7" fillId="4" borderId="15" xfId="4" applyNumberFormat="1" applyFont="1" applyFill="1" applyBorder="1" applyAlignment="1">
      <alignment horizontal="right" wrapText="1"/>
    </xf>
    <xf numFmtId="164" fontId="7" fillId="4" borderId="16" xfId="4" applyNumberFormat="1" applyFont="1" applyFill="1" applyBorder="1" applyAlignment="1">
      <alignment horizontal="right" wrapText="1"/>
    </xf>
    <xf numFmtId="164" fontId="7" fillId="4" borderId="18" xfId="4" applyNumberFormat="1" applyFont="1" applyFill="1" applyBorder="1" applyAlignment="1">
      <alignment horizontal="right" wrapText="1"/>
    </xf>
    <xf numFmtId="164" fontId="7" fillId="4" borderId="11" xfId="4" applyNumberFormat="1" applyFont="1" applyFill="1" applyBorder="1" applyAlignment="1">
      <alignment horizontal="right" wrapText="1"/>
    </xf>
    <xf numFmtId="164" fontId="7" fillId="4" borderId="12" xfId="4" applyNumberFormat="1" applyFont="1" applyFill="1" applyBorder="1" applyAlignment="1">
      <alignment horizontal="right" wrapText="1"/>
    </xf>
    <xf numFmtId="164" fontId="7" fillId="4" borderId="19" xfId="4" applyNumberFormat="1" applyFont="1" applyFill="1" applyBorder="1" applyAlignment="1">
      <alignment horizontal="right" wrapText="1"/>
    </xf>
    <xf numFmtId="164" fontId="7" fillId="4" borderId="5" xfId="4" applyNumberFormat="1" applyFont="1" applyFill="1" applyAlignment="1">
      <alignment horizontal="right" wrapText="1"/>
    </xf>
    <xf numFmtId="164" fontId="7" fillId="4" borderId="13" xfId="4" applyNumberFormat="1" applyFont="1" applyFill="1" applyBorder="1" applyAlignment="1">
      <alignment horizontal="right" wrapText="1"/>
    </xf>
    <xf numFmtId="0" fontId="7" fillId="4" borderId="5" xfId="4" applyFont="1" applyFill="1" applyAlignment="1">
      <alignment horizontal="left" wrapText="1" indent="2"/>
    </xf>
    <xf numFmtId="0" fontId="7" fillId="4" borderId="15" xfId="4" applyFont="1" applyFill="1" applyBorder="1" applyAlignment="1">
      <alignment horizontal="left" wrapText="1" indent="2"/>
    </xf>
    <xf numFmtId="0" fontId="7" fillId="4" borderId="11" xfId="4" applyFont="1" applyFill="1" applyBorder="1" applyAlignment="1">
      <alignment horizontal="left" wrapText="1" indent="2"/>
    </xf>
    <xf numFmtId="164" fontId="7" fillId="4" borderId="32" xfId="5" applyNumberFormat="1" applyFont="1" applyFill="1" applyBorder="1" applyAlignment="1">
      <alignment horizontal="right" wrapText="1"/>
    </xf>
    <xf numFmtId="164" fontId="7" fillId="4" borderId="6" xfId="5" applyNumberFormat="1" applyFont="1" applyFill="1" applyAlignment="1">
      <alignment horizontal="right" wrapText="1"/>
    </xf>
    <xf numFmtId="164" fontId="7" fillId="4" borderId="20" xfId="5" applyNumberFormat="1" applyFont="1" applyFill="1" applyBorder="1" applyAlignment="1">
      <alignment horizontal="right" wrapText="1"/>
    </xf>
    <xf numFmtId="164" fontId="7" fillId="4" borderId="33" xfId="4" applyNumberFormat="1" applyFont="1" applyFill="1" applyBorder="1" applyAlignment="1">
      <alignment horizontal="right" wrapText="1"/>
    </xf>
    <xf numFmtId="164" fontId="7" fillId="4" borderId="24" xfId="4" applyNumberFormat="1" applyFont="1" applyFill="1" applyBorder="1" applyAlignment="1">
      <alignment horizontal="right" wrapText="1"/>
    </xf>
    <xf numFmtId="164" fontId="7" fillId="4" borderId="25" xfId="4" applyNumberFormat="1" applyFont="1" applyFill="1" applyBorder="1" applyAlignment="1">
      <alignment horizontal="right" wrapText="1"/>
    </xf>
    <xf numFmtId="44" fontId="0" fillId="0" borderId="0" xfId="8" applyFont="1"/>
    <xf numFmtId="0" fontId="13" fillId="0" borderId="1" xfId="0" applyFont="1" applyBorder="1"/>
    <xf numFmtId="0" fontId="0" fillId="0" borderId="0" xfId="0" applyAlignment="1">
      <alignment wrapText="1"/>
    </xf>
    <xf numFmtId="0" fontId="0" fillId="5" borderId="1" xfId="0" applyFill="1" applyBorder="1"/>
    <xf numFmtId="0" fontId="13" fillId="0" borderId="0" xfId="0" applyFont="1"/>
    <xf numFmtId="0" fontId="0" fillId="0" borderId="0" xfId="0" applyAlignment="1">
      <alignment horizontal="center"/>
    </xf>
    <xf numFmtId="167" fontId="0" fillId="0" borderId="0" xfId="1" applyNumberFormat="1" applyFont="1"/>
    <xf numFmtId="0" fontId="0" fillId="0" borderId="0" xfId="0" applyAlignment="1">
      <alignment horizontal="left"/>
    </xf>
    <xf numFmtId="167" fontId="0" fillId="0" borderId="0" xfId="1" applyNumberFormat="1" applyFont="1" applyFill="1"/>
    <xf numFmtId="165" fontId="0" fillId="0" borderId="1" xfId="0" applyNumberFormat="1" applyBorder="1"/>
    <xf numFmtId="0" fontId="0" fillId="0" borderId="42" xfId="0" applyBorder="1"/>
    <xf numFmtId="0" fontId="0" fillId="0" borderId="1" xfId="0" applyBorder="1" applyAlignment="1">
      <alignment horizontal="right" indent="1"/>
    </xf>
    <xf numFmtId="0" fontId="0" fillId="0" borderId="43" xfId="0" applyBorder="1"/>
    <xf numFmtId="0" fontId="0" fillId="0" borderId="10" xfId="0" applyBorder="1"/>
    <xf numFmtId="0" fontId="0" fillId="0" borderId="10" xfId="0" applyBorder="1" applyAlignment="1">
      <alignment horizontal="center"/>
    </xf>
    <xf numFmtId="3" fontId="0" fillId="0" borderId="10" xfId="0" applyNumberFormat="1" applyBorder="1" applyAlignment="1">
      <alignment horizontal="center"/>
    </xf>
    <xf numFmtId="2" fontId="0" fillId="0" borderId="10" xfId="0" applyNumberFormat="1" applyBorder="1" applyAlignment="1">
      <alignment horizontal="center"/>
    </xf>
    <xf numFmtId="169" fontId="0" fillId="0" borderId="10" xfId="0" applyNumberFormat="1" applyBorder="1" applyAlignment="1">
      <alignment horizontal="center"/>
    </xf>
    <xf numFmtId="4" fontId="0" fillId="0" borderId="10" xfId="0" applyNumberFormat="1" applyBorder="1" applyAlignment="1">
      <alignment horizontal="center"/>
    </xf>
    <xf numFmtId="170" fontId="0" fillId="0" borderId="10" xfId="0" applyNumberFormat="1" applyBorder="1" applyAlignment="1">
      <alignment horizontal="center"/>
    </xf>
    <xf numFmtId="168" fontId="0" fillId="0" borderId="10" xfId="0" applyNumberFormat="1" applyBorder="1" applyAlignment="1">
      <alignment horizontal="center"/>
    </xf>
    <xf numFmtId="171" fontId="0" fillId="0" borderId="10" xfId="0" applyNumberFormat="1" applyBorder="1" applyAlignment="1">
      <alignment horizontal="center"/>
    </xf>
    <xf numFmtId="0" fontId="0" fillId="0" borderId="10" xfId="0" applyBorder="1" applyAlignment="1">
      <alignment horizontal="center" wrapText="1"/>
    </xf>
    <xf numFmtId="39" fontId="0" fillId="0" borderId="10" xfId="0" applyNumberFormat="1" applyBorder="1"/>
    <xf numFmtId="37" fontId="0" fillId="0" borderId="10" xfId="0" applyNumberFormat="1" applyBorder="1"/>
    <xf numFmtId="167" fontId="0" fillId="0" borderId="10" xfId="1" applyNumberFormat="1" applyFont="1" applyBorder="1"/>
    <xf numFmtId="0" fontId="0" fillId="0" borderId="45" xfId="0" applyBorder="1"/>
    <xf numFmtId="0" fontId="0" fillId="0" borderId="46" xfId="0" applyBorder="1"/>
    <xf numFmtId="0" fontId="0" fillId="0" borderId="48" xfId="0" applyBorder="1"/>
    <xf numFmtId="0" fontId="0" fillId="0" borderId="51" xfId="0" applyBorder="1"/>
    <xf numFmtId="0" fontId="4" fillId="0" borderId="3" xfId="0" applyFont="1" applyBorder="1" applyAlignment="1">
      <alignment horizontal="left" wrapText="1"/>
    </xf>
    <xf numFmtId="0" fontId="4" fillId="0" borderId="9" xfId="0" applyFont="1" applyBorder="1" applyAlignment="1">
      <alignment horizontal="center" wrapText="1"/>
    </xf>
    <xf numFmtId="164" fontId="4" fillId="0" borderId="6" xfId="5" applyNumberFormat="1" applyFont="1" applyAlignment="1">
      <alignment horizontal="center" wrapText="1"/>
    </xf>
    <xf numFmtId="165" fontId="4" fillId="0" borderId="6" xfId="5" applyNumberFormat="1" applyFont="1" applyAlignment="1">
      <alignment horizontal="center" wrapText="1"/>
    </xf>
    <xf numFmtId="164" fontId="7" fillId="0" borderId="5" xfId="4" applyNumberFormat="1" applyFont="1" applyAlignment="1">
      <alignment horizontal="center" wrapText="1"/>
    </xf>
    <xf numFmtId="165" fontId="7" fillId="0" borderId="5" xfId="4" applyNumberFormat="1" applyFont="1" applyAlignment="1">
      <alignment horizontal="center" wrapText="1"/>
    </xf>
    <xf numFmtId="172" fontId="0" fillId="0" borderId="0" xfId="9" applyNumberFormat="1" applyFont="1" applyBorder="1"/>
    <xf numFmtId="43" fontId="0" fillId="0" borderId="0" xfId="0" applyNumberFormat="1"/>
    <xf numFmtId="172" fontId="0" fillId="0" borderId="0" xfId="0" applyNumberFormat="1"/>
    <xf numFmtId="165" fontId="0" fillId="0" borderId="0" xfId="0" applyNumberFormat="1"/>
    <xf numFmtId="43" fontId="0" fillId="0" borderId="1" xfId="0" applyNumberFormat="1" applyBorder="1"/>
    <xf numFmtId="171" fontId="0" fillId="0" borderId="0" xfId="0" applyNumberFormat="1"/>
    <xf numFmtId="1" fontId="0" fillId="0" borderId="0" xfId="0" applyNumberFormat="1" applyAlignment="1">
      <alignment horizontal="left"/>
    </xf>
    <xf numFmtId="172" fontId="0" fillId="0" borderId="1" xfId="9" applyNumberFormat="1" applyFont="1" applyBorder="1"/>
    <xf numFmtId="167" fontId="0" fillId="0" borderId="10" xfId="1" applyNumberFormat="1" applyFont="1" applyFill="1" applyBorder="1" applyAlignment="1">
      <alignment horizontal="center" wrapText="1"/>
    </xf>
    <xf numFmtId="0" fontId="0" fillId="0" borderId="10" xfId="0" applyBorder="1" applyAlignment="1">
      <alignment horizontal="left"/>
    </xf>
    <xf numFmtId="167" fontId="0" fillId="0" borderId="10" xfId="1" applyNumberFormat="1" applyFont="1" applyFill="1" applyBorder="1" applyAlignment="1">
      <alignment horizontal="center"/>
    </xf>
    <xf numFmtId="169" fontId="0" fillId="0" borderId="10" xfId="0" applyNumberFormat="1" applyBorder="1"/>
    <xf numFmtId="169" fontId="0" fillId="0" borderId="0" xfId="0" applyNumberFormat="1"/>
    <xf numFmtId="173" fontId="0" fillId="0" borderId="1" xfId="8" applyNumberFormat="1" applyFont="1" applyBorder="1"/>
    <xf numFmtId="10" fontId="0" fillId="0" borderId="1" xfId="9" applyNumberFormat="1" applyFont="1" applyBorder="1"/>
    <xf numFmtId="0" fontId="0" fillId="0" borderId="0" xfId="0" applyAlignment="1">
      <alignment horizontal="right"/>
    </xf>
    <xf numFmtId="3" fontId="0" fillId="0" borderId="1" xfId="1" applyNumberFormat="1" applyFont="1" applyFill="1" applyBorder="1" applyAlignment="1">
      <alignment wrapText="1"/>
    </xf>
    <xf numFmtId="3" fontId="0" fillId="0" borderId="1" xfId="1" applyNumberFormat="1" applyFont="1" applyFill="1" applyBorder="1"/>
    <xf numFmtId="0" fontId="0" fillId="0" borderId="0" xfId="0" applyAlignment="1">
      <alignment horizontal="right" indent="1"/>
    </xf>
    <xf numFmtId="0" fontId="12" fillId="0" borderId="0" xfId="0" applyFont="1"/>
    <xf numFmtId="172" fontId="0" fillId="0" borderId="0" xfId="9" applyNumberFormat="1" applyFont="1" applyFill="1" applyBorder="1"/>
    <xf numFmtId="0" fontId="29" fillId="0" borderId="0" xfId="0" applyFont="1" applyAlignment="1">
      <alignment horizontal="left" wrapText="1" indent="1"/>
    </xf>
    <xf numFmtId="2" fontId="0" fillId="0" borderId="50" xfId="0" applyNumberFormat="1" applyBorder="1"/>
    <xf numFmtId="2" fontId="0" fillId="0" borderId="0" xfId="0" applyNumberFormat="1"/>
    <xf numFmtId="165" fontId="0" fillId="0" borderId="50" xfId="0" applyNumberFormat="1" applyBorder="1"/>
    <xf numFmtId="0" fontId="11" fillId="0" borderId="0" xfId="7" applyFill="1"/>
    <xf numFmtId="0" fontId="7" fillId="0" borderId="5" xfId="4" applyFont="1">
      <alignment wrapText="1"/>
    </xf>
    <xf numFmtId="0" fontId="7" fillId="0" borderId="0" xfId="4" applyFont="1" applyBorder="1">
      <alignment wrapText="1"/>
    </xf>
    <xf numFmtId="0" fontId="29" fillId="0" borderId="0" xfId="0" applyFont="1" applyAlignment="1">
      <alignment horizontal="right"/>
    </xf>
    <xf numFmtId="167" fontId="0" fillId="0" borderId="0" xfId="1" applyNumberFormat="1" applyFont="1" applyFill="1" applyBorder="1" applyAlignment="1">
      <alignment horizontal="center"/>
    </xf>
    <xf numFmtId="43" fontId="0" fillId="0" borderId="0" xfId="1" applyFont="1" applyFill="1" applyBorder="1" applyAlignment="1">
      <alignment horizontal="center"/>
    </xf>
    <xf numFmtId="0" fontId="11" fillId="0" borderId="0" xfId="7" applyAlignment="1">
      <alignment horizontal="right" indent="1"/>
    </xf>
    <xf numFmtId="0" fontId="13" fillId="0" borderId="0" xfId="0" applyFont="1" applyAlignment="1">
      <alignment horizontal="right" indent="1"/>
    </xf>
    <xf numFmtId="0" fontId="13" fillId="0" borderId="0" xfId="0" applyFont="1" applyAlignment="1">
      <alignment horizontal="left" indent="1"/>
    </xf>
    <xf numFmtId="167" fontId="0" fillId="0" borderId="1" xfId="1" applyNumberFormat="1" applyFont="1" applyFill="1" applyBorder="1" applyAlignment="1">
      <alignment wrapText="1"/>
    </xf>
    <xf numFmtId="166" fontId="0" fillId="0" borderId="1" xfId="1" applyNumberFormat="1" applyFont="1" applyFill="1" applyBorder="1" applyAlignment="1">
      <alignment wrapText="1"/>
    </xf>
    <xf numFmtId="165" fontId="0" fillId="5" borderId="1" xfId="0" applyNumberFormat="1" applyFill="1" applyBorder="1"/>
    <xf numFmtId="166" fontId="0" fillId="5" borderId="1" xfId="0" applyNumberFormat="1" applyFill="1" applyBorder="1"/>
    <xf numFmtId="165" fontId="0" fillId="0" borderId="10" xfId="0" applyNumberFormat="1" applyBorder="1"/>
    <xf numFmtId="165" fontId="0" fillId="5" borderId="0" xfId="0" applyNumberFormat="1" applyFill="1"/>
    <xf numFmtId="0" fontId="0" fillId="5" borderId="0" xfId="0" applyFill="1"/>
    <xf numFmtId="0" fontId="0" fillId="0" borderId="10" xfId="0" applyBorder="1" applyAlignment="1">
      <alignment horizontal="center" vertical="center" wrapText="1"/>
    </xf>
    <xf numFmtId="2" fontId="0" fillId="0" borderId="10" xfId="0" applyNumberFormat="1" applyBorder="1" applyAlignment="1">
      <alignment horizontal="center" vertical="center"/>
    </xf>
    <xf numFmtId="0" fontId="33" fillId="0" borderId="1" xfId="0" applyFont="1" applyBorder="1" applyAlignment="1">
      <alignment horizontal="right"/>
    </xf>
    <xf numFmtId="3" fontId="0" fillId="0" borderId="10" xfId="0" applyNumberFormat="1" applyBorder="1" applyAlignment="1">
      <alignment horizontal="center" vertical="center"/>
    </xf>
    <xf numFmtId="174" fontId="0" fillId="0" borderId="0" xfId="8" applyNumberFormat="1" applyFont="1" applyFill="1" applyBorder="1"/>
    <xf numFmtId="174" fontId="0" fillId="5" borderId="1" xfId="8" applyNumberFormat="1" applyFont="1" applyFill="1" applyBorder="1"/>
    <xf numFmtId="0" fontId="0" fillId="0" borderId="0" xfId="0" applyAlignment="1">
      <alignment horizontal="left" indent="1"/>
    </xf>
    <xf numFmtId="175" fontId="34" fillId="0" borderId="0" xfId="0" applyNumberFormat="1" applyFont="1" applyAlignment="1">
      <alignment horizontal="left" indent="1"/>
    </xf>
    <xf numFmtId="0" fontId="30" fillId="0" borderId="0" xfId="0" applyFont="1" applyAlignment="1">
      <alignment wrapText="1"/>
    </xf>
    <xf numFmtId="0" fontId="0" fillId="0" borderId="0" xfId="0" applyAlignment="1">
      <alignment horizontal="left" vertical="center" wrapText="1" indent="1"/>
    </xf>
    <xf numFmtId="0" fontId="30" fillId="0" borderId="0" xfId="0" applyFont="1" applyAlignment="1">
      <alignment horizontal="left" vertical="center" wrapText="1" indent="1"/>
    </xf>
    <xf numFmtId="0" fontId="11" fillId="0" borderId="0" xfId="7" applyAlignment="1">
      <alignment horizontal="left" vertical="center" wrapText="1" indent="1"/>
    </xf>
    <xf numFmtId="0" fontId="36" fillId="0" borderId="0" xfId="7" applyFont="1" applyFill="1" applyBorder="1" applyAlignment="1">
      <alignment horizontal="left" indent="1"/>
    </xf>
    <xf numFmtId="0" fontId="10" fillId="0" borderId="0" xfId="0" applyFont="1" applyAlignment="1">
      <alignment horizontal="right"/>
    </xf>
    <xf numFmtId="0" fontId="0" fillId="37" borderId="10" xfId="0" applyFill="1" applyBorder="1" applyProtection="1">
      <protection locked="0"/>
    </xf>
    <xf numFmtId="0" fontId="0" fillId="37" borderId="10" xfId="0" applyFill="1" applyBorder="1" applyAlignment="1" applyProtection="1">
      <alignment wrapText="1"/>
      <protection locked="0"/>
    </xf>
    <xf numFmtId="3" fontId="0" fillId="37" borderId="10" xfId="1" applyNumberFormat="1" applyFont="1" applyFill="1" applyBorder="1" applyAlignment="1" applyProtection="1">
      <alignment wrapText="1"/>
      <protection locked="0"/>
    </xf>
    <xf numFmtId="3" fontId="0" fillId="37" borderId="10" xfId="1" applyNumberFormat="1" applyFont="1" applyFill="1" applyBorder="1" applyProtection="1">
      <protection locked="0"/>
    </xf>
    <xf numFmtId="3" fontId="0" fillId="38" borderId="10" xfId="1" applyNumberFormat="1" applyFont="1" applyFill="1" applyBorder="1" applyProtection="1">
      <protection locked="0"/>
    </xf>
    <xf numFmtId="3" fontId="0" fillId="37" borderId="10" xfId="0" applyNumberFormat="1" applyFill="1" applyBorder="1" applyProtection="1">
      <protection locked="0"/>
    </xf>
    <xf numFmtId="0" fontId="37" fillId="0" borderId="0" xfId="0" applyFont="1" applyAlignment="1">
      <alignment horizontal="left" indent="1"/>
    </xf>
    <xf numFmtId="0" fontId="0" fillId="0" borderId="44" xfId="0" applyBorder="1" applyAlignment="1">
      <alignment horizontal="left" indent="1"/>
    </xf>
    <xf numFmtId="0" fontId="29" fillId="0" borderId="47" xfId="0" applyFont="1" applyBorder="1" applyAlignment="1">
      <alignment horizontal="left" indent="1"/>
    </xf>
    <xf numFmtId="0" fontId="0" fillId="0" borderId="47" xfId="0" applyBorder="1" applyAlignment="1">
      <alignment horizontal="left" indent="1"/>
    </xf>
    <xf numFmtId="0" fontId="0" fillId="0" borderId="49" xfId="0" applyBorder="1" applyAlignment="1">
      <alignment horizontal="left" indent="1"/>
    </xf>
    <xf numFmtId="0" fontId="39" fillId="0" borderId="0" xfId="0" applyFont="1" applyAlignment="1">
      <alignment horizontal="left" indent="1"/>
    </xf>
    <xf numFmtId="0" fontId="40" fillId="0" borderId="0" xfId="0" applyFont="1" applyAlignment="1">
      <alignment horizontal="left" indent="1"/>
    </xf>
    <xf numFmtId="3" fontId="0" fillId="0" borderId="10" xfId="1" applyNumberFormat="1" applyFont="1" applyFill="1" applyBorder="1" applyAlignment="1">
      <alignment horizontal="center"/>
    </xf>
    <xf numFmtId="39" fontId="0" fillId="0" borderId="10" xfId="1" applyNumberFormat="1" applyFont="1" applyFill="1" applyBorder="1" applyAlignment="1">
      <alignment horizontal="center"/>
    </xf>
    <xf numFmtId="3" fontId="0" fillId="0" borderId="10" xfId="1" applyNumberFormat="1" applyFont="1" applyBorder="1" applyAlignment="1">
      <alignment horizontal="center" wrapText="1"/>
    </xf>
    <xf numFmtId="3" fontId="0" fillId="0" borderId="10" xfId="0" applyNumberFormat="1" applyBorder="1" applyAlignment="1">
      <alignment horizontal="center" wrapText="1"/>
    </xf>
    <xf numFmtId="3" fontId="0" fillId="0" borderId="10" xfId="1" applyNumberFormat="1" applyFont="1" applyBorder="1" applyAlignment="1">
      <alignment horizontal="center"/>
    </xf>
    <xf numFmtId="0" fontId="11" fillId="0" borderId="6" xfId="7" applyBorder="1" applyAlignment="1">
      <alignment wrapText="1"/>
    </xf>
    <xf numFmtId="169" fontId="12" fillId="8" borderId="10" xfId="17" applyNumberFormat="1" applyFont="1" applyBorder="1" applyAlignment="1">
      <alignment horizontal="center"/>
    </xf>
    <xf numFmtId="168" fontId="12" fillId="8" borderId="10" xfId="17" applyNumberFormat="1" applyFont="1" applyBorder="1" applyAlignment="1">
      <alignment horizontal="center"/>
    </xf>
    <xf numFmtId="43" fontId="41" fillId="8" borderId="0" xfId="17" applyNumberFormat="1" applyFont="1"/>
    <xf numFmtId="0" fontId="41" fillId="8" borderId="0" xfId="17" applyFont="1"/>
    <xf numFmtId="174" fontId="41" fillId="3" borderId="10" xfId="0" applyNumberFormat="1" applyFont="1" applyFill="1" applyBorder="1"/>
    <xf numFmtId="0" fontId="41" fillId="3" borderId="0" xfId="0" applyFont="1" applyFill="1" applyAlignment="1">
      <alignment horizontal="right"/>
    </xf>
    <xf numFmtId="174" fontId="41" fillId="3" borderId="0" xfId="8" applyNumberFormat="1" applyFont="1" applyFill="1" applyBorder="1"/>
    <xf numFmtId="0" fontId="41" fillId="3" borderId="0" xfId="0" applyFont="1" applyFill="1" applyAlignment="1">
      <alignment horizontal="right" indent="1"/>
    </xf>
    <xf numFmtId="3" fontId="0" fillId="0" borderId="21" xfId="1" applyNumberFormat="1" applyFont="1" applyBorder="1" applyAlignment="1">
      <alignment horizontal="center" vertical="center"/>
    </xf>
    <xf numFmtId="3" fontId="0" fillId="0" borderId="22" xfId="1" applyNumberFormat="1" applyFont="1" applyBorder="1" applyAlignment="1">
      <alignment horizontal="center" vertical="center"/>
    </xf>
    <xf numFmtId="3" fontId="0" fillId="0" borderId="23" xfId="1" applyNumberFormat="1" applyFont="1" applyBorder="1" applyAlignment="1">
      <alignment horizontal="center" vertical="center"/>
    </xf>
    <xf numFmtId="172" fontId="0" fillId="0" borderId="21" xfId="9" applyNumberFormat="1" applyFont="1" applyBorder="1" applyAlignment="1">
      <alignment horizontal="center" vertical="center" wrapText="1"/>
    </xf>
    <xf numFmtId="172" fontId="0" fillId="0" borderId="22" xfId="9" applyNumberFormat="1" applyFont="1" applyBorder="1" applyAlignment="1">
      <alignment horizontal="center" vertical="center" wrapText="1"/>
    </xf>
    <xf numFmtId="172" fontId="0" fillId="0" borderId="23" xfId="9" applyNumberFormat="1" applyFont="1" applyBorder="1" applyAlignment="1">
      <alignment horizontal="center" vertical="center" wrapText="1"/>
    </xf>
    <xf numFmtId="172" fontId="0" fillId="0" borderId="21" xfId="9" applyNumberFormat="1" applyFont="1" applyBorder="1" applyAlignment="1">
      <alignment horizontal="center" vertical="center"/>
    </xf>
    <xf numFmtId="172" fontId="0" fillId="0" borderId="22" xfId="9" applyNumberFormat="1" applyFont="1" applyBorder="1" applyAlignment="1">
      <alignment horizontal="center" vertical="center"/>
    </xf>
    <xf numFmtId="172" fontId="0" fillId="0" borderId="23" xfId="9" applyNumberFormat="1" applyFont="1" applyBorder="1" applyAlignment="1">
      <alignment horizontal="center" vertical="center"/>
    </xf>
    <xf numFmtId="0" fontId="0" fillId="0" borderId="0" xfId="0" applyAlignment="1">
      <alignment horizontal="left" wrapText="1" indent="1"/>
    </xf>
    <xf numFmtId="0" fontId="29" fillId="0" borderId="0" xfId="0" applyFont="1" applyAlignment="1">
      <alignment horizontal="left" wrapText="1" indent="2"/>
    </xf>
    <xf numFmtId="37" fontId="0" fillId="0" borderId="10" xfId="0" applyNumberFormat="1" applyBorder="1" applyAlignment="1">
      <alignment horizontal="center"/>
    </xf>
    <xf numFmtId="167" fontId="0" fillId="0" borderId="10" xfId="0" applyNumberFormat="1" applyBorder="1" applyAlignment="1">
      <alignment horizontal="center"/>
    </xf>
    <xf numFmtId="10" fontId="0" fillId="0" borderId="10" xfId="0" applyNumberFormat="1" applyBorder="1" applyAlignment="1">
      <alignment horizontal="center"/>
    </xf>
    <xf numFmtId="172" fontId="0" fillId="0" borderId="10" xfId="9" applyNumberFormat="1" applyFont="1" applyBorder="1" applyAlignment="1">
      <alignment horizontal="center" vertical="center"/>
    </xf>
    <xf numFmtId="0" fontId="43" fillId="0" borderId="0" xfId="0" applyFont="1" applyAlignment="1">
      <alignment horizontal="left" wrapText="1" indent="2"/>
    </xf>
    <xf numFmtId="176" fontId="30" fillId="0" borderId="0" xfId="0" applyNumberFormat="1" applyFont="1" applyAlignment="1">
      <alignment horizontal="left" wrapText="1" indent="1"/>
    </xf>
    <xf numFmtId="176" fontId="0" fillId="0" borderId="0" xfId="0" applyNumberFormat="1" applyAlignment="1">
      <alignment horizontal="left" wrapText="1" indent="1"/>
    </xf>
    <xf numFmtId="0" fontId="0" fillId="0" borderId="0" xfId="0" applyAlignment="1">
      <alignment horizontal="left" wrapText="1" indent="1"/>
    </xf>
    <xf numFmtId="0" fontId="0" fillId="0" borderId="0" xfId="0" applyAlignment="1">
      <alignment horizontal="left" vertical="center" wrapText="1" indent="1"/>
    </xf>
    <xf numFmtId="0" fontId="12" fillId="0" borderId="52" xfId="0" applyFont="1" applyBorder="1" applyAlignment="1">
      <alignment horizontal="left" wrapText="1"/>
    </xf>
    <xf numFmtId="0" fontId="12" fillId="0" borderId="53" xfId="0" applyFont="1" applyBorder="1" applyAlignment="1">
      <alignment horizontal="left" wrapText="1"/>
    </xf>
    <xf numFmtId="0" fontId="12" fillId="0" borderId="43" xfId="0" applyFont="1" applyBorder="1" applyAlignment="1">
      <alignment horizontal="left" wrapText="1"/>
    </xf>
    <xf numFmtId="2" fontId="0" fillId="5" borderId="52" xfId="0" applyNumberFormat="1" applyFill="1" applyBorder="1"/>
    <xf numFmtId="2" fontId="0" fillId="5" borderId="53" xfId="0" applyNumberFormat="1" applyFill="1" applyBorder="1"/>
    <xf numFmtId="2" fontId="0" fillId="5" borderId="43" xfId="0" applyNumberFormat="1" applyFill="1" applyBorder="1"/>
    <xf numFmtId="0" fontId="0" fillId="0" borderId="0" xfId="0" applyAlignment="1">
      <alignment horizontal="right"/>
    </xf>
    <xf numFmtId="0" fontId="4" fillId="0" borderId="3" xfId="0" applyFont="1" applyBorder="1" applyAlignment="1">
      <alignment horizontal="left" wrapText="1"/>
    </xf>
    <xf numFmtId="0" fontId="6" fillId="0" borderId="8" xfId="6"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7" fillId="4" borderId="26" xfId="4" applyFont="1" applyFill="1" applyBorder="1" applyAlignment="1">
      <alignment horizontal="center" wrapText="1"/>
    </xf>
    <xf numFmtId="0" fontId="7" fillId="4" borderId="27" xfId="4" applyFont="1" applyFill="1" applyBorder="1" applyAlignment="1">
      <alignment horizontal="center" wrapText="1"/>
    </xf>
    <xf numFmtId="0" fontId="7" fillId="4" borderId="28" xfId="4" applyFont="1" applyFill="1" applyBorder="1" applyAlignment="1">
      <alignment horizontal="center" wrapText="1"/>
    </xf>
    <xf numFmtId="0" fontId="7" fillId="4" borderId="29" xfId="4" applyFont="1" applyFill="1" applyBorder="1" applyAlignment="1">
      <alignment horizontal="center" wrapText="1"/>
    </xf>
    <xf numFmtId="0" fontId="7" fillId="4" borderId="30" xfId="4" applyFont="1" applyFill="1" applyBorder="1" applyAlignment="1">
      <alignment horizontal="center" wrapText="1"/>
    </xf>
    <xf numFmtId="0" fontId="7" fillId="0" borderId="29" xfId="4" applyFont="1" applyBorder="1" applyAlignment="1">
      <alignment horizontal="center" wrapText="1"/>
    </xf>
    <xf numFmtId="0" fontId="7" fillId="0" borderId="28" xfId="4" applyFont="1" applyBorder="1" applyAlignment="1">
      <alignment horizontal="center" wrapText="1"/>
    </xf>
    <xf numFmtId="0" fontId="0" fillId="4" borderId="26"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7" fillId="0" borderId="30" xfId="4" applyFont="1" applyBorder="1" applyAlignment="1">
      <alignment horizontal="center" wrapText="1"/>
    </xf>
    <xf numFmtId="0" fontId="7" fillId="0" borderId="26" xfId="4" applyFont="1" applyBorder="1" applyAlignment="1">
      <alignment horizontal="center" wrapText="1"/>
    </xf>
    <xf numFmtId="0" fontId="7" fillId="0" borderId="27" xfId="4" applyFont="1" applyBorder="1" applyAlignment="1">
      <alignment horizontal="center" wrapText="1"/>
    </xf>
  </cellXfs>
  <cellStyles count="51">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6" builtinId="27" customBuiltin="1"/>
    <cellStyle name="Body: normal cell" xfId="4" xr:uid="{00000000-0005-0000-0000-000019000000}"/>
    <cellStyle name="Calculation" xfId="20" builtinId="22" customBuiltin="1"/>
    <cellStyle name="Check Cell" xfId="22" builtinId="23" customBuiltin="1"/>
    <cellStyle name="Comma" xfId="1" builtinId="3"/>
    <cellStyle name="Currency" xfId="8" builtinId="4"/>
    <cellStyle name="Explanatory Text" xfId="25" builtinId="53" customBuiltin="1"/>
    <cellStyle name="Footnotes: top row" xfId="6" xr:uid="{00000000-0005-0000-0000-00001F000000}"/>
    <cellStyle name="Good" xfId="15" builtinId="26" customBuiltin="1"/>
    <cellStyle name="Header: bottom row" xfId="3" xr:uid="{00000000-0005-0000-0000-000021000000}"/>
    <cellStyle name="Heading 1" xfId="11" builtinId="16" customBuiltin="1"/>
    <cellStyle name="Heading 2" xfId="12" builtinId="17" customBuiltin="1"/>
    <cellStyle name="Heading 3" xfId="13" builtinId="18" customBuiltin="1"/>
    <cellStyle name="Heading 4" xfId="14" builtinId="19" customBuiltin="1"/>
    <cellStyle name="Hyperlink" xfId="7" builtinId="8"/>
    <cellStyle name="Input" xfId="18" builtinId="20" customBuiltin="1"/>
    <cellStyle name="Linked Cell" xfId="21" builtinId="24" customBuiltin="1"/>
    <cellStyle name="Neutral" xfId="17" builtinId="28" customBuiltin="1"/>
    <cellStyle name="Normal" xfId="0" builtinId="0"/>
    <cellStyle name="Note" xfId="24" builtinId="10" customBuiltin="1"/>
    <cellStyle name="Output" xfId="19" builtinId="21" customBuiltin="1"/>
    <cellStyle name="Parent row" xfId="5" xr:uid="{00000000-0005-0000-0000-00002D000000}"/>
    <cellStyle name="Percent" xfId="9" builtinId="5"/>
    <cellStyle name="Table title" xfId="2" xr:uid="{00000000-0005-0000-0000-00002F000000}"/>
    <cellStyle name="Title" xfId="10" builtinId="15" customBuiltin="1"/>
    <cellStyle name="Total" xfId="26" builtinId="25" customBuiltin="1"/>
    <cellStyle name="Warning Text" xfId="2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lakewood.org/Government/Departments/eTRAKiT-Content/eTRAKiT-at-Lakewood"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www.lakewood.org/sustainabledevelopment" TargetMode="External"/><Relationship Id="rId1" Type="http://schemas.openxmlformats.org/officeDocument/2006/relationships/hyperlink" Target="https://www.lakewood.org/files/assets/public/v/1/planning/sustainability/article-13/ghgmp-resource-guide-v1-7-29-22.pdf" TargetMode="External"/></Relationships>
</file>

<file path=xl/drawings/drawing1.xml><?xml version="1.0" encoding="utf-8"?>
<xdr:wsDr xmlns:xdr="http://schemas.openxmlformats.org/drawingml/2006/spreadsheetDrawing" xmlns:a="http://schemas.openxmlformats.org/drawingml/2006/main">
  <xdr:twoCellAnchor>
    <xdr:from>
      <xdr:col>0</xdr:col>
      <xdr:colOff>2962275</xdr:colOff>
      <xdr:row>5</xdr:row>
      <xdr:rowOff>19051</xdr:rowOff>
    </xdr:from>
    <xdr:to>
      <xdr:col>1</xdr:col>
      <xdr:colOff>876299</xdr:colOff>
      <xdr:row>6</xdr:row>
      <xdr:rowOff>19050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D2C828F-ACC4-44DD-88BB-4DB66E7DF4B3}"/>
            </a:ext>
            <a:ext uri="{C183D7F6-B498-43B3-948B-1728B52AA6E4}">
              <adec:decorative xmlns:adec="http://schemas.microsoft.com/office/drawing/2017/decorative" val="1"/>
            </a:ext>
          </a:extLst>
        </xdr:cNvPr>
        <xdr:cNvSpPr/>
      </xdr:nvSpPr>
      <xdr:spPr>
        <a:xfrm>
          <a:off x="2962275" y="1492251"/>
          <a:ext cx="1660524" cy="1841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19050</xdr:colOff>
      <xdr:row>10</xdr:row>
      <xdr:rowOff>95250</xdr:rowOff>
    </xdr:from>
    <xdr:to>
      <xdr:col>2</xdr:col>
      <xdr:colOff>625475</xdr:colOff>
      <xdr:row>23</xdr:row>
      <xdr:rowOff>133350</xdr:rowOff>
    </xdr:to>
    <xdr:sp macro="" textlink="">
      <xdr:nvSpPr>
        <xdr:cNvPr id="4" name="Rectangle 3">
          <a:extLst>
            <a:ext uri="{FF2B5EF4-FFF2-40B4-BE49-F238E27FC236}">
              <a16:creationId xmlns:a16="http://schemas.microsoft.com/office/drawing/2014/main" id="{696A47D8-A97D-4750-89D3-6A91A167BDB3}"/>
            </a:ext>
            <a:ext uri="{C183D7F6-B498-43B3-948B-1728B52AA6E4}">
              <adec:decorative xmlns:adec="http://schemas.microsoft.com/office/drawing/2017/decorative" val="1"/>
            </a:ext>
          </a:extLst>
        </xdr:cNvPr>
        <xdr:cNvSpPr/>
      </xdr:nvSpPr>
      <xdr:spPr>
        <a:xfrm>
          <a:off x="19050" y="2381250"/>
          <a:ext cx="6969125" cy="2914650"/>
        </a:xfrm>
        <a:prstGeom prst="rect">
          <a:avLst/>
        </a:prstGeom>
        <a:noFill/>
        <a:ln w="254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733424</xdr:colOff>
      <xdr:row>3</xdr:row>
      <xdr:rowOff>771525</xdr:rowOff>
    </xdr:from>
    <xdr:to>
      <xdr:col>2</xdr:col>
      <xdr:colOff>933449</xdr:colOff>
      <xdr:row>3</xdr:row>
      <xdr:rowOff>952500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4FC936C-8D5D-4915-939D-A5FDDE88756A}"/>
            </a:ext>
            <a:ext uri="{C183D7F6-B498-43B3-948B-1728B52AA6E4}">
              <adec:decorative xmlns:adec="http://schemas.microsoft.com/office/drawing/2017/decorative" val="1"/>
            </a:ext>
          </a:extLst>
        </xdr:cNvPr>
        <xdr:cNvSpPr/>
      </xdr:nvSpPr>
      <xdr:spPr>
        <a:xfrm>
          <a:off x="4365624" y="1330325"/>
          <a:ext cx="1038225"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3</xdr:row>
      <xdr:rowOff>981075</xdr:rowOff>
    </xdr:from>
    <xdr:to>
      <xdr:col>0</xdr:col>
      <xdr:colOff>1543050</xdr:colOff>
      <xdr:row>4</xdr:row>
      <xdr:rowOff>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6C1EB38-F424-486B-B57B-32A37A2C5007}"/>
            </a:ext>
            <a:ext uri="{C183D7F6-B498-43B3-948B-1728B52AA6E4}">
              <adec:decorative xmlns:adec="http://schemas.microsoft.com/office/drawing/2017/decorative" val="1"/>
            </a:ext>
          </a:extLst>
        </xdr:cNvPr>
        <xdr:cNvSpPr/>
      </xdr:nvSpPr>
      <xdr:spPr>
        <a:xfrm>
          <a:off x="0" y="1539875"/>
          <a:ext cx="154305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2085975</xdr:colOff>
      <xdr:row>3</xdr:row>
      <xdr:rowOff>981076</xdr:rowOff>
    </xdr:from>
    <xdr:to>
      <xdr:col>2</xdr:col>
      <xdr:colOff>349250</xdr:colOff>
      <xdr:row>4</xdr:row>
      <xdr:rowOff>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A48AFC3D-40AD-4074-8B01-B1A0C87BCA94}"/>
            </a:ext>
            <a:ext uri="{C183D7F6-B498-43B3-948B-1728B52AA6E4}">
              <adec:decorative xmlns:adec="http://schemas.microsoft.com/office/drawing/2017/decorative" val="1"/>
            </a:ext>
          </a:extLst>
        </xdr:cNvPr>
        <xdr:cNvSpPr/>
      </xdr:nvSpPr>
      <xdr:spPr>
        <a:xfrm>
          <a:off x="2085975" y="1539876"/>
          <a:ext cx="27336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161924</xdr:colOff>
      <xdr:row>3</xdr:row>
      <xdr:rowOff>949325</xdr:rowOff>
    </xdr:from>
    <xdr:to>
      <xdr:col>0</xdr:col>
      <xdr:colOff>1695450</xdr:colOff>
      <xdr:row>4</xdr:row>
      <xdr:rowOff>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3D567A0B-4C31-460A-A485-5A1CD4AAA5FD}"/>
            </a:ext>
            <a:ext uri="{C183D7F6-B498-43B3-948B-1728B52AA6E4}">
              <adec:decorative xmlns:adec="http://schemas.microsoft.com/office/drawing/2017/decorative" val="1"/>
            </a:ext>
          </a:extLst>
        </xdr:cNvPr>
        <xdr:cNvSpPr/>
      </xdr:nvSpPr>
      <xdr:spPr>
        <a:xfrm>
          <a:off x="161924" y="1508125"/>
          <a:ext cx="1533526" cy="184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akewood.org/files/assets/public/v/1/planning/sustainability/article-13/ghgmp-resource-guide-v1-7-29-22.pdf" TargetMode="External"/><Relationship Id="rId2" Type="http://schemas.openxmlformats.org/officeDocument/2006/relationships/hyperlink" Target="https://www.lakewood.org/Government/Departments/Planning/Sustainability/Resources/Sustainable-Development-Standards" TargetMode="External"/><Relationship Id="rId1" Type="http://schemas.openxmlformats.org/officeDocument/2006/relationships/hyperlink" Target="https://www.eia.gov/consumption/commercial/building-type-definitions.ph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ia.gov/consumption/residential/reports/2015/squarefoota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ia.gov/consumption/commercial/building-type-definitions.php" TargetMode="External"/><Relationship Id="rId2" Type="http://schemas.openxmlformats.org/officeDocument/2006/relationships/hyperlink" Target="https://www.energystar.gov/sites/default/files/tools/Parking_August_2018_EN_508.pdf" TargetMode="External"/><Relationship Id="rId1" Type="http://schemas.openxmlformats.org/officeDocument/2006/relationships/hyperlink" Target="https://www.eia.gov/consumption/commercial/data/2018/"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lakewood.org/files/assets/public/planning/sustainability/planning-for-sustainability/2021-ghg-emissions-inventory-summary-report-final-14jul23.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xcelenergy.com/community_energy_reports" TargetMode="External"/><Relationship Id="rId2" Type="http://schemas.openxmlformats.org/officeDocument/2006/relationships/hyperlink" Target="https://www.xcelenergy.com/community_energy_reports" TargetMode="External"/><Relationship Id="rId1" Type="http://schemas.openxmlformats.org/officeDocument/2006/relationships/hyperlink" Target="https://www.eia.gov/dnav/ng/ng_cons_heat_a_EPG0_VGTH_btucf_a.htm" TargetMode="External"/><Relationship Id="rId5" Type="http://schemas.openxmlformats.org/officeDocument/2006/relationships/printerSettings" Target="../printerSettings/printerSettings7.bin"/><Relationship Id="rId4" Type="http://schemas.openxmlformats.org/officeDocument/2006/relationships/hyperlink" Target="https://co.my.xcelenergy.com/s/environment/clean-energy-plan"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923C-EC47-4B01-9987-F231AA9E86E1}">
  <sheetPr>
    <tabColor theme="8"/>
  </sheetPr>
  <dimension ref="A1:F46"/>
  <sheetViews>
    <sheetView showGridLines="0" tabSelected="1" zoomScaleNormal="100" workbookViewId="0">
      <selection activeCell="B12" sqref="B12"/>
    </sheetView>
  </sheetViews>
  <sheetFormatPr defaultColWidth="9.140625" defaultRowHeight="15" x14ac:dyDescent="0.25"/>
  <cols>
    <col min="1" max="1" width="53.5703125" customWidth="1"/>
    <col min="2" max="2" width="37.42578125" customWidth="1"/>
    <col min="3" max="3" width="10.7109375" customWidth="1"/>
    <col min="4" max="4" width="57.42578125" customWidth="1"/>
    <col min="5" max="5" width="14" customWidth="1"/>
    <col min="6" max="8" width="21.85546875" customWidth="1"/>
    <col min="9" max="9" width="161.28515625" bestFit="1" customWidth="1"/>
  </cols>
  <sheetData>
    <row r="1" spans="1:3" ht="18.75" x14ac:dyDescent="0.3">
      <c r="A1" s="147" t="s">
        <v>304</v>
      </c>
      <c r="C1" s="153" t="s">
        <v>327</v>
      </c>
    </row>
    <row r="2" spans="1:3" ht="6.95" customHeight="1" x14ac:dyDescent="0.25"/>
    <row r="3" spans="1:3" ht="42.95" customHeight="1" x14ac:dyDescent="0.25">
      <c r="A3" s="197" t="s">
        <v>305</v>
      </c>
      <c r="B3" s="198"/>
      <c r="C3" s="198"/>
    </row>
    <row r="4" spans="1:3" ht="6.6" customHeight="1" x14ac:dyDescent="0.25">
      <c r="A4" s="148"/>
      <c r="B4" s="65"/>
      <c r="C4" s="65"/>
    </row>
    <row r="5" spans="1:3" ht="41.1" customHeight="1" x14ac:dyDescent="0.25">
      <c r="A5" s="199" t="s">
        <v>306</v>
      </c>
      <c r="B5" s="199"/>
      <c r="C5" s="199"/>
    </row>
    <row r="6" spans="1:3" x14ac:dyDescent="0.25">
      <c r="A6" s="200" t="s">
        <v>307</v>
      </c>
      <c r="B6" s="200"/>
      <c r="C6" s="200"/>
    </row>
    <row r="7" spans="1:3" ht="6.95" customHeight="1" x14ac:dyDescent="0.25">
      <c r="A7" s="149"/>
      <c r="B7" s="149"/>
      <c r="C7" s="149"/>
    </row>
    <row r="8" spans="1:3" x14ac:dyDescent="0.25">
      <c r="A8" s="150" t="s">
        <v>308</v>
      </c>
      <c r="B8" s="149"/>
      <c r="C8" s="149"/>
    </row>
    <row r="9" spans="1:3" x14ac:dyDescent="0.25">
      <c r="A9" s="151" t="s">
        <v>309</v>
      </c>
      <c r="B9" s="149"/>
      <c r="C9" s="149"/>
    </row>
    <row r="10" spans="1:3" x14ac:dyDescent="0.25">
      <c r="A10" s="151" t="s">
        <v>310</v>
      </c>
      <c r="B10" s="149"/>
      <c r="C10" s="149"/>
    </row>
    <row r="12" spans="1:3" ht="16.5" customHeight="1" x14ac:dyDescent="0.25">
      <c r="A12" s="117" t="s">
        <v>133</v>
      </c>
      <c r="B12" s="154" t="s">
        <v>230</v>
      </c>
    </row>
    <row r="13" spans="1:3" ht="31.5" customHeight="1" x14ac:dyDescent="0.25">
      <c r="A13" s="117" t="s">
        <v>167</v>
      </c>
      <c r="B13" s="155" t="s">
        <v>226</v>
      </c>
    </row>
    <row r="14" spans="1:3" x14ac:dyDescent="0.25">
      <c r="A14" s="130" t="s">
        <v>168</v>
      </c>
      <c r="B14" s="156" t="s">
        <v>29</v>
      </c>
    </row>
    <row r="15" spans="1:3" ht="16.5" customHeight="1" x14ac:dyDescent="0.25">
      <c r="A15" s="130" t="s">
        <v>169</v>
      </c>
      <c r="B15" s="157">
        <v>5000</v>
      </c>
      <c r="C15" t="s">
        <v>1</v>
      </c>
    </row>
    <row r="16" spans="1:3" x14ac:dyDescent="0.25">
      <c r="A16" s="152"/>
    </row>
    <row r="17" spans="1:5" ht="27" customHeight="1" x14ac:dyDescent="0.25">
      <c r="A17" s="199" t="s">
        <v>297</v>
      </c>
      <c r="B17" s="199"/>
    </row>
    <row r="18" spans="1:5" ht="16.5" customHeight="1" x14ac:dyDescent="0.25">
      <c r="A18" s="117" t="s">
        <v>269</v>
      </c>
      <c r="B18" s="158"/>
      <c r="C18" t="s">
        <v>5</v>
      </c>
    </row>
    <row r="19" spans="1:5" ht="16.5" customHeight="1" x14ac:dyDescent="0.25">
      <c r="A19" s="117" t="s">
        <v>270</v>
      </c>
      <c r="B19" s="158"/>
      <c r="C19" t="s">
        <v>4</v>
      </c>
    </row>
    <row r="21" spans="1:5" x14ac:dyDescent="0.25">
      <c r="A21" s="132" t="s">
        <v>271</v>
      </c>
    </row>
    <row r="22" spans="1:5" ht="18" x14ac:dyDescent="0.35">
      <c r="A22" s="131" t="s">
        <v>311</v>
      </c>
      <c r="B22" s="137">
        <f>B39</f>
        <v>4.4105644506719699</v>
      </c>
      <c r="C22" s="118" t="s">
        <v>301</v>
      </c>
    </row>
    <row r="23" spans="1:5" x14ac:dyDescent="0.25">
      <c r="A23" s="180" t="s">
        <v>293</v>
      </c>
      <c r="B23" s="177">
        <f>B46</f>
        <v>2543.7029593821762</v>
      </c>
    </row>
    <row r="25" spans="1:5" ht="45" x14ac:dyDescent="0.25">
      <c r="A25" s="190" t="s">
        <v>280</v>
      </c>
      <c r="B25" s="190"/>
      <c r="C25" s="190"/>
    </row>
    <row r="26" spans="1:5" x14ac:dyDescent="0.25">
      <c r="A26" s="65"/>
      <c r="B26" s="65"/>
      <c r="C26" s="65"/>
    </row>
    <row r="27" spans="1:5" ht="18" x14ac:dyDescent="0.35">
      <c r="A27" s="132" t="s">
        <v>175</v>
      </c>
      <c r="B27" s="102">
        <f>'Calculation Details'!B15</f>
        <v>25.412076938873756</v>
      </c>
      <c r="C27" s="118" t="s">
        <v>301</v>
      </c>
      <c r="D27" s="67"/>
      <c r="E27" s="67"/>
    </row>
    <row r="28" spans="1:5" ht="45" x14ac:dyDescent="0.25">
      <c r="A28" s="191" t="s">
        <v>268</v>
      </c>
      <c r="B28" s="191"/>
      <c r="D28" s="67"/>
      <c r="E28" s="67"/>
    </row>
    <row r="29" spans="1:5" x14ac:dyDescent="0.25">
      <c r="A29" s="120"/>
      <c r="D29" s="67"/>
      <c r="E29" s="67"/>
    </row>
    <row r="30" spans="1:5" ht="18" x14ac:dyDescent="0.35">
      <c r="A30" s="132" t="s">
        <v>201</v>
      </c>
      <c r="B30" s="102">
        <f>'Calculation Details'!B29</f>
        <v>29.822641389545726</v>
      </c>
      <c r="C30" s="118" t="s">
        <v>301</v>
      </c>
    </row>
    <row r="31" spans="1:5" ht="75" x14ac:dyDescent="0.25">
      <c r="A31" s="191" t="s">
        <v>278</v>
      </c>
      <c r="B31" s="191"/>
    </row>
    <row r="32" spans="1:5" x14ac:dyDescent="0.25">
      <c r="A32" s="67"/>
    </row>
    <row r="33" spans="1:6" ht="18" x14ac:dyDescent="0.35">
      <c r="A33" s="132" t="s">
        <v>225</v>
      </c>
      <c r="B33" s="102">
        <f>'Calculation Details'!B37</f>
        <v>0</v>
      </c>
      <c r="C33" s="118" t="s">
        <v>301</v>
      </c>
    </row>
    <row r="34" spans="1:6" ht="60" x14ac:dyDescent="0.25">
      <c r="A34" s="191" t="s">
        <v>312</v>
      </c>
      <c r="B34" s="191"/>
    </row>
    <row r="35" spans="1:6" x14ac:dyDescent="0.25">
      <c r="B35" s="102"/>
    </row>
    <row r="36" spans="1:6" ht="18" x14ac:dyDescent="0.35">
      <c r="A36" s="132" t="s">
        <v>202</v>
      </c>
      <c r="B36" s="102">
        <f>'Calculation Details'!B44</f>
        <v>29.822641389545726</v>
      </c>
      <c r="C36" s="118" t="s">
        <v>301</v>
      </c>
    </row>
    <row r="37" spans="1:6" ht="15" customHeight="1" x14ac:dyDescent="0.25">
      <c r="A37" s="191" t="s">
        <v>277</v>
      </c>
      <c r="B37" s="191"/>
      <c r="C37" s="118"/>
    </row>
    <row r="39" spans="1:6" ht="18" x14ac:dyDescent="0.35">
      <c r="A39" s="132" t="s">
        <v>211</v>
      </c>
      <c r="B39" s="102">
        <f>'Calculation Details'!B48</f>
        <v>4.4105644506719699</v>
      </c>
      <c r="C39" s="118" t="s">
        <v>301</v>
      </c>
    </row>
    <row r="40" spans="1:6" ht="45" x14ac:dyDescent="0.25">
      <c r="A40" s="191" t="s">
        <v>324</v>
      </c>
      <c r="B40" s="191"/>
    </row>
    <row r="41" spans="1:6" x14ac:dyDescent="0.25">
      <c r="F41" s="100"/>
    </row>
    <row r="42" spans="1:6" x14ac:dyDescent="0.25">
      <c r="A42" s="132" t="s">
        <v>216</v>
      </c>
      <c r="F42" s="100"/>
    </row>
    <row r="43" spans="1:6" ht="60" x14ac:dyDescent="0.25">
      <c r="A43" s="196" t="s">
        <v>330</v>
      </c>
      <c r="B43" s="191"/>
      <c r="F43" s="100"/>
    </row>
    <row r="44" spans="1:6" x14ac:dyDescent="0.25">
      <c r="A44" s="114" t="s">
        <v>218</v>
      </c>
      <c r="B44" s="144">
        <f>'Calculation Details'!B53</f>
        <v>3352.028982510697</v>
      </c>
    </row>
    <row r="45" spans="1:6" x14ac:dyDescent="0.25">
      <c r="A45" s="114" t="s">
        <v>220</v>
      </c>
      <c r="B45" s="144">
        <f>'Calculation Details'!B55</f>
        <v>-808.32602312852077</v>
      </c>
      <c r="C45" s="119"/>
    </row>
    <row r="46" spans="1:6" x14ac:dyDescent="0.25">
      <c r="A46" s="178" t="s">
        <v>219</v>
      </c>
      <c r="B46" s="179">
        <f>'Calculation Details'!B56</f>
        <v>2543.7029593821762</v>
      </c>
    </row>
  </sheetData>
  <sheetProtection algorithmName="SHA-512" hashValue="vdKQXvzSbq5vbXm56HDOefVK5RK6DLC8qRyRz2KRnC6OCVGDE6rbjeSAae+fn1PTKYMblG3+sUdTRqGlWceyzA==" saltValue="9j8sOZYGDLznqXF5VWOU3Q==" spinCount="100000" sheet="1" objects="1" scenarios="1"/>
  <dataConsolidate/>
  <mergeCells count="4">
    <mergeCell ref="A3:C3"/>
    <mergeCell ref="A5:C5"/>
    <mergeCell ref="A17:B17"/>
    <mergeCell ref="A6:C6"/>
  </mergeCells>
  <dataValidations disablePrompts="1" xWindow="152" yWindow="417" count="3">
    <dataValidation allowBlank="1" showInputMessage="1" showErrorMessage="1" promptTitle="Proposed Gross Floor Area" prompt="Enter in the total gross floor area of the project, including enclosed unfinished spaces (i.e. parking garage, basement). See applicant guide for additional details." sqref="B15" xr:uid="{51F6156C-04EA-47D3-9336-38E4C509C296}"/>
    <dataValidation allowBlank="1" showInputMessage="1" showErrorMessage="1" promptTitle="Electricity Grid Discount" prompt="This discount is applied to account for the anticipated changes to Xcel Energy's electricity grid mix, where carbon emissions associated with the electricity grid are expected to decrease over time." sqref="A45:B45" xr:uid="{99B18A3D-3063-4CDC-BC57-459595BAA52B}"/>
    <dataValidation allowBlank="1" showInputMessage="1" showErrorMessage="1" promptTitle="Modeled NG Use" prompt="Enter projected natural gas use from the energy model. If the building is fully electrified, enter 0." sqref="B19" xr:uid="{A5F66F61-292D-4D1C-98D1-3DBD741B3405}"/>
  </dataValidations>
  <hyperlinks>
    <hyperlink ref="A14" r:id="rId1" xr:uid="{A90ABCCB-4A83-4696-999C-27A672643739}"/>
    <hyperlink ref="A10" r:id="rId2" xr:uid="{A41D564F-C34F-4D3E-8D5A-8D5D7C9469AB}"/>
    <hyperlink ref="A9" r:id="rId3" xr:uid="{59D1DB5C-E10B-4846-A07D-01D05D2EA67B}"/>
    <hyperlink ref="A15" r:id="rId4" xr:uid="{B2875F63-C4FA-4999-93DD-73C84DE4777E}"/>
  </hyperlinks>
  <pageMargins left="0.7" right="0.7" top="0.75" bottom="0.75" header="0.3" footer="0.3"/>
  <pageSetup scale="88" orientation="portrait" r:id="rId5"/>
  <headerFooter>
    <oddHeader>&amp;LNon-Residential Greenhouse Gas Mitigation Program Applicant Worksheet&amp;RPrinted &amp;D
 (Version 7/3/24)</oddHeader>
  </headerFooter>
  <drawing r:id="rId6"/>
  <extLst>
    <ext xmlns:x14="http://schemas.microsoft.com/office/spreadsheetml/2009/9/main" uri="{CCE6A557-97BC-4b89-ADB6-D9C93CAAB3DF}">
      <x14:dataValidations xmlns:xm="http://schemas.microsoft.com/office/excel/2006/main" disablePrompts="1" xWindow="152" yWindow="417" count="1">
        <x14:dataValidation type="list" allowBlank="1" showInputMessage="1" showErrorMessage="1" promptTitle="Building Type" prompt="Select the building type that most closely aligns with the proposed use. Click on &quot;Select Building Type&quot; for building type definitions." xr:uid="{FA5FB6D6-DD42-40BF-97F4-7E5EE1E7F31A}">
          <x14:formula1>
            <xm:f>'Projected Energy'!$A$4:$A$21</xm:f>
          </x14:formula1>
          <xm:sqref>B14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62"/>
  <sheetViews>
    <sheetView showGridLines="0" zoomScaleNormal="100" workbookViewId="0">
      <pane ySplit="3" topLeftCell="A4" activePane="bottomLeft" state="frozen"/>
      <selection activeCell="B17" sqref="B17"/>
      <selection pane="bottomLeft" activeCell="B17" sqref="B17"/>
    </sheetView>
  </sheetViews>
  <sheetFormatPr defaultRowHeight="15" x14ac:dyDescent="0.25"/>
  <cols>
    <col min="1" max="1" width="19.42578125" customWidth="1"/>
    <col min="2" max="2" width="64" customWidth="1"/>
    <col min="3" max="3" width="13.85546875" customWidth="1"/>
    <col min="4" max="4" width="13.85546875" style="5" customWidth="1"/>
  </cols>
  <sheetData>
    <row r="1" spans="1:6" x14ac:dyDescent="0.25">
      <c r="B1" s="4" t="s">
        <v>12</v>
      </c>
      <c r="C1" t="s">
        <v>50</v>
      </c>
    </row>
    <row r="2" spans="1:6" ht="27" customHeight="1" x14ac:dyDescent="0.25">
      <c r="B2" s="6"/>
      <c r="C2" s="208" t="s">
        <v>23</v>
      </c>
      <c r="D2" s="208"/>
      <c r="E2" s="208" t="s">
        <v>26</v>
      </c>
      <c r="F2" s="208"/>
    </row>
    <row r="3" spans="1:6" ht="46.5" customHeight="1" x14ac:dyDescent="0.25">
      <c r="B3" s="6"/>
      <c r="C3" s="8" t="s">
        <v>27</v>
      </c>
      <c r="D3" s="15" t="s">
        <v>25</v>
      </c>
      <c r="E3" s="8" t="s">
        <v>116</v>
      </c>
      <c r="F3" s="8" t="s">
        <v>117</v>
      </c>
    </row>
    <row r="4" spans="1:6" ht="15" customHeight="1" x14ac:dyDescent="0.25">
      <c r="A4" s="210" t="s">
        <v>29</v>
      </c>
      <c r="B4" s="16" t="s">
        <v>51</v>
      </c>
      <c r="C4" s="32">
        <v>17.399999999999999</v>
      </c>
      <c r="D4" s="22">
        <v>14.4</v>
      </c>
      <c r="E4" s="22">
        <v>44.8</v>
      </c>
      <c r="F4" s="23">
        <v>22.2</v>
      </c>
    </row>
    <row r="5" spans="1:6" ht="15" customHeight="1" x14ac:dyDescent="0.25">
      <c r="A5" s="211"/>
      <c r="B5" s="17" t="s">
        <v>52</v>
      </c>
      <c r="C5" s="33">
        <v>9.8000000000000007</v>
      </c>
      <c r="D5" s="24">
        <v>8.3000000000000007</v>
      </c>
      <c r="E5" s="24">
        <v>26.7</v>
      </c>
      <c r="F5" s="25">
        <v>22.3</v>
      </c>
    </row>
    <row r="6" spans="1:6" ht="15" customHeight="1" x14ac:dyDescent="0.25">
      <c r="A6" s="211"/>
      <c r="B6" s="18" t="s">
        <v>53</v>
      </c>
      <c r="C6" s="33">
        <v>9.5</v>
      </c>
      <c r="D6" s="24">
        <v>8</v>
      </c>
      <c r="E6" s="24">
        <v>24.5</v>
      </c>
      <c r="F6" s="25">
        <v>20.9</v>
      </c>
    </row>
    <row r="7" spans="1:6" ht="15" customHeight="1" x14ac:dyDescent="0.25">
      <c r="A7" s="211"/>
      <c r="B7" s="18" t="s">
        <v>54</v>
      </c>
      <c r="C7" s="33">
        <v>10.3</v>
      </c>
      <c r="D7" s="24">
        <v>10.5</v>
      </c>
      <c r="E7" s="24">
        <v>30.9</v>
      </c>
      <c r="F7" s="25">
        <v>31.2</v>
      </c>
    </row>
    <row r="8" spans="1:6" ht="15" customHeight="1" x14ac:dyDescent="0.25">
      <c r="A8" s="211"/>
      <c r="B8" s="17" t="s">
        <v>55</v>
      </c>
      <c r="C8" s="33">
        <v>13.3</v>
      </c>
      <c r="D8" s="24">
        <v>11.6</v>
      </c>
      <c r="E8" s="24">
        <v>27.4</v>
      </c>
      <c r="F8" s="25">
        <v>32.299999999999997</v>
      </c>
    </row>
    <row r="9" spans="1:6" ht="15" customHeight="1" x14ac:dyDescent="0.25">
      <c r="A9" s="212"/>
      <c r="B9" s="19" t="s">
        <v>56</v>
      </c>
      <c r="C9" s="34">
        <v>8.1999999999999993</v>
      </c>
      <c r="D9" s="26">
        <v>6.6</v>
      </c>
      <c r="E9" s="26">
        <v>37.6</v>
      </c>
      <c r="F9" s="27">
        <v>33.9</v>
      </c>
    </row>
    <row r="10" spans="1:6" ht="15" customHeight="1" x14ac:dyDescent="0.25">
      <c r="A10" s="213" t="s">
        <v>86</v>
      </c>
      <c r="B10" s="36" t="s">
        <v>57</v>
      </c>
      <c r="C10" s="37">
        <v>56.4</v>
      </c>
      <c r="D10" s="38">
        <v>63</v>
      </c>
      <c r="E10" s="38">
        <v>66.400000000000006</v>
      </c>
      <c r="F10" s="39">
        <v>46.4</v>
      </c>
    </row>
    <row r="11" spans="1:6" ht="15" customHeight="1" x14ac:dyDescent="0.25">
      <c r="A11" s="214"/>
      <c r="B11" s="40" t="s">
        <v>58</v>
      </c>
      <c r="C11" s="41">
        <v>44.2</v>
      </c>
      <c r="D11" s="42">
        <v>43.6</v>
      </c>
      <c r="E11" s="42">
        <v>60</v>
      </c>
      <c r="F11" s="43">
        <v>51.1</v>
      </c>
    </row>
    <row r="12" spans="1:6" ht="15" customHeight="1" x14ac:dyDescent="0.25">
      <c r="A12" s="215"/>
      <c r="B12" s="44" t="s">
        <v>59</v>
      </c>
      <c r="C12" s="45" t="s">
        <v>14</v>
      </c>
      <c r="D12" s="46" t="s">
        <v>14</v>
      </c>
      <c r="E12" s="46" t="s">
        <v>14</v>
      </c>
      <c r="F12" s="47" t="s">
        <v>14</v>
      </c>
    </row>
    <row r="13" spans="1:6" ht="15" customHeight="1" x14ac:dyDescent="0.25">
      <c r="A13" s="210" t="s">
        <v>87</v>
      </c>
      <c r="B13" s="16" t="s">
        <v>60</v>
      </c>
      <c r="C13" s="32">
        <v>73.900000000000006</v>
      </c>
      <c r="D13" s="22">
        <v>73.2</v>
      </c>
      <c r="E13" s="22">
        <v>173.8</v>
      </c>
      <c r="F13" s="23">
        <v>170.4</v>
      </c>
    </row>
    <row r="14" spans="1:6" ht="15" customHeight="1" x14ac:dyDescent="0.25">
      <c r="A14" s="211"/>
      <c r="B14" s="17" t="s">
        <v>61</v>
      </c>
      <c r="C14" s="33">
        <v>43.5</v>
      </c>
      <c r="D14" s="24">
        <v>38.6</v>
      </c>
      <c r="E14" s="24">
        <v>178</v>
      </c>
      <c r="F14" s="25">
        <v>171.1</v>
      </c>
    </row>
    <row r="15" spans="1:6" ht="15" customHeight="1" x14ac:dyDescent="0.25">
      <c r="A15" s="211"/>
      <c r="B15" s="17" t="s">
        <v>62</v>
      </c>
      <c r="C15" s="33">
        <v>26.3</v>
      </c>
      <c r="D15" s="24">
        <v>25.6</v>
      </c>
      <c r="E15" s="24">
        <v>92</v>
      </c>
      <c r="F15" s="25">
        <v>67</v>
      </c>
    </row>
    <row r="16" spans="1:6" ht="15" customHeight="1" x14ac:dyDescent="0.25">
      <c r="A16" s="212"/>
      <c r="B16" s="19" t="s">
        <v>63</v>
      </c>
      <c r="C16" s="34">
        <v>39</v>
      </c>
      <c r="D16" s="26">
        <v>21.5</v>
      </c>
      <c r="E16" s="26" t="s">
        <v>14</v>
      </c>
      <c r="F16" s="27" t="s">
        <v>14</v>
      </c>
    </row>
    <row r="17" spans="1:6" ht="15" customHeight="1" x14ac:dyDescent="0.25">
      <c r="A17" s="213" t="s">
        <v>88</v>
      </c>
      <c r="B17" s="36" t="s">
        <v>64</v>
      </c>
      <c r="C17" s="48">
        <v>31</v>
      </c>
      <c r="D17" s="49">
        <v>32.700000000000003</v>
      </c>
      <c r="E17" s="49">
        <v>101.1</v>
      </c>
      <c r="F17" s="50">
        <v>85</v>
      </c>
    </row>
    <row r="18" spans="1:6" ht="15" customHeight="1" x14ac:dyDescent="0.25">
      <c r="A18" s="214"/>
      <c r="B18" s="40" t="s">
        <v>65</v>
      </c>
      <c r="C18" s="51">
        <v>18.7</v>
      </c>
      <c r="D18" s="52">
        <v>12.8</v>
      </c>
      <c r="E18" s="52">
        <v>38</v>
      </c>
      <c r="F18" s="53">
        <v>21</v>
      </c>
    </row>
    <row r="19" spans="1:6" ht="15" customHeight="1" x14ac:dyDescent="0.25">
      <c r="A19" s="214"/>
      <c r="B19" s="54" t="s">
        <v>66</v>
      </c>
      <c r="C19" s="51">
        <v>16</v>
      </c>
      <c r="D19" s="52">
        <v>11.8</v>
      </c>
      <c r="E19" s="52">
        <v>22.5</v>
      </c>
      <c r="F19" s="53">
        <v>17.7</v>
      </c>
    </row>
    <row r="20" spans="1:6" ht="15" customHeight="1" x14ac:dyDescent="0.25">
      <c r="A20" s="215"/>
      <c r="B20" s="55" t="s">
        <v>67</v>
      </c>
      <c r="C20" s="45">
        <v>19.8</v>
      </c>
      <c r="D20" s="46">
        <v>13.2</v>
      </c>
      <c r="E20" s="46">
        <v>42.6</v>
      </c>
      <c r="F20" s="47">
        <v>22.6</v>
      </c>
    </row>
    <row r="21" spans="1:6" ht="15" customHeight="1" x14ac:dyDescent="0.25">
      <c r="A21" s="210" t="s">
        <v>89</v>
      </c>
      <c r="B21" s="16" t="s">
        <v>68</v>
      </c>
      <c r="C21" s="32">
        <v>15.6</v>
      </c>
      <c r="D21" s="22">
        <v>13.8</v>
      </c>
      <c r="E21" s="22">
        <v>42.5</v>
      </c>
      <c r="F21" s="23">
        <v>30.5</v>
      </c>
    </row>
    <row r="22" spans="1:6" ht="15" customHeight="1" x14ac:dyDescent="0.25">
      <c r="A22" s="211"/>
      <c r="B22" s="17" t="s">
        <v>69</v>
      </c>
      <c r="C22" s="33">
        <v>14.3</v>
      </c>
      <c r="D22" s="24">
        <v>15</v>
      </c>
      <c r="E22" s="24">
        <v>33.4</v>
      </c>
      <c r="F22" s="25">
        <v>38.9</v>
      </c>
    </row>
    <row r="23" spans="1:6" ht="15" customHeight="1" x14ac:dyDescent="0.25">
      <c r="A23" s="211"/>
      <c r="B23" s="17" t="s">
        <v>70</v>
      </c>
      <c r="C23" s="33">
        <v>12</v>
      </c>
      <c r="D23" s="24">
        <v>8.1999999999999993</v>
      </c>
      <c r="E23" s="24">
        <v>29.3</v>
      </c>
      <c r="F23" s="25">
        <v>28.4</v>
      </c>
    </row>
    <row r="24" spans="1:6" ht="15" customHeight="1" x14ac:dyDescent="0.25">
      <c r="A24" s="211"/>
      <c r="B24" s="17" t="s">
        <v>71</v>
      </c>
      <c r="C24" s="33">
        <v>18.399999999999999</v>
      </c>
      <c r="D24" s="24">
        <v>17.399999999999999</v>
      </c>
      <c r="E24" s="24">
        <v>62.8</v>
      </c>
      <c r="F24" s="25">
        <v>61.1</v>
      </c>
    </row>
    <row r="25" spans="1:6" ht="15" customHeight="1" x14ac:dyDescent="0.25">
      <c r="A25" s="212"/>
      <c r="B25" s="19" t="s">
        <v>72</v>
      </c>
      <c r="C25" s="34">
        <v>12</v>
      </c>
      <c r="D25" s="26">
        <v>8.5</v>
      </c>
      <c r="E25" s="26">
        <v>31.9</v>
      </c>
      <c r="F25" s="27">
        <v>36</v>
      </c>
    </row>
    <row r="26" spans="1:6" ht="15" customHeight="1" x14ac:dyDescent="0.25">
      <c r="A26" s="216" t="s">
        <v>73</v>
      </c>
      <c r="B26" s="56" t="s">
        <v>74</v>
      </c>
      <c r="C26" s="48">
        <v>15.4</v>
      </c>
      <c r="D26" s="49">
        <v>9.4</v>
      </c>
      <c r="E26" s="49">
        <v>19.899999999999999</v>
      </c>
      <c r="F26" s="50">
        <v>20.399999999999999</v>
      </c>
    </row>
    <row r="27" spans="1:6" ht="15" customHeight="1" x14ac:dyDescent="0.25">
      <c r="A27" s="217"/>
      <c r="B27" s="54" t="s">
        <v>75</v>
      </c>
      <c r="C27" s="51">
        <v>14</v>
      </c>
      <c r="D27" s="52">
        <v>9</v>
      </c>
      <c r="E27" s="52">
        <v>33.5</v>
      </c>
      <c r="F27" s="53">
        <v>22.7</v>
      </c>
    </row>
    <row r="28" spans="1:6" ht="15" customHeight="1" x14ac:dyDescent="0.25">
      <c r="A28" s="215"/>
      <c r="B28" s="55" t="s">
        <v>76</v>
      </c>
      <c r="C28" s="45">
        <v>14.4</v>
      </c>
      <c r="D28" s="46">
        <v>14</v>
      </c>
      <c r="E28" s="46">
        <v>22.3</v>
      </c>
      <c r="F28" s="47">
        <v>28.2</v>
      </c>
    </row>
    <row r="29" spans="1:6" ht="15" customHeight="1" x14ac:dyDescent="0.25">
      <c r="A29" s="218" t="s">
        <v>77</v>
      </c>
      <c r="B29" s="21" t="s">
        <v>78</v>
      </c>
      <c r="C29" s="32">
        <v>21.7</v>
      </c>
      <c r="D29" s="22">
        <v>19.5</v>
      </c>
      <c r="E29" s="22">
        <v>47</v>
      </c>
      <c r="F29" s="23">
        <v>42.8</v>
      </c>
    </row>
    <row r="30" spans="1:6" ht="15" customHeight="1" x14ac:dyDescent="0.25">
      <c r="A30" s="219"/>
      <c r="B30" s="20" t="s">
        <v>79</v>
      </c>
      <c r="C30" s="34">
        <v>17.399999999999999</v>
      </c>
      <c r="D30" s="26">
        <v>17.8</v>
      </c>
      <c r="E30" s="26">
        <v>7.2</v>
      </c>
      <c r="F30" s="27">
        <v>7.7</v>
      </c>
    </row>
    <row r="31" spans="1:6" ht="15" customHeight="1" x14ac:dyDescent="0.25">
      <c r="A31" s="220" t="s">
        <v>108</v>
      </c>
      <c r="B31" s="36" t="s">
        <v>80</v>
      </c>
      <c r="C31" s="48">
        <v>16.899999999999999</v>
      </c>
      <c r="D31" s="49">
        <v>9.6</v>
      </c>
      <c r="E31" s="49">
        <v>30.4</v>
      </c>
      <c r="F31" s="50">
        <v>22.4</v>
      </c>
    </row>
    <row r="32" spans="1:6" ht="15" customHeight="1" x14ac:dyDescent="0.25">
      <c r="A32" s="221"/>
      <c r="B32" s="40" t="s">
        <v>81</v>
      </c>
      <c r="C32" s="51">
        <v>19.3</v>
      </c>
      <c r="D32" s="52">
        <v>19.600000000000001</v>
      </c>
      <c r="E32" s="52">
        <v>23.5</v>
      </c>
      <c r="F32" s="53">
        <v>28.8</v>
      </c>
    </row>
    <row r="33" spans="1:6" ht="15" customHeight="1" x14ac:dyDescent="0.25">
      <c r="A33" s="221"/>
      <c r="B33" s="40" t="s">
        <v>82</v>
      </c>
      <c r="C33" s="51">
        <v>14.3</v>
      </c>
      <c r="D33" s="52">
        <v>11.9</v>
      </c>
      <c r="E33" s="52">
        <v>26.5</v>
      </c>
      <c r="F33" s="53">
        <v>25.3</v>
      </c>
    </row>
    <row r="34" spans="1:6" ht="15" customHeight="1" x14ac:dyDescent="0.25">
      <c r="A34" s="221"/>
      <c r="B34" s="40" t="s">
        <v>83</v>
      </c>
      <c r="C34" s="51">
        <v>12.1</v>
      </c>
      <c r="D34" s="52">
        <v>8.8000000000000007</v>
      </c>
      <c r="E34" s="52">
        <v>23.3</v>
      </c>
      <c r="F34" s="53">
        <v>17.3</v>
      </c>
    </row>
    <row r="35" spans="1:6" ht="15" customHeight="1" x14ac:dyDescent="0.25">
      <c r="A35" s="221"/>
      <c r="B35" s="40" t="s">
        <v>84</v>
      </c>
      <c r="C35" s="57">
        <v>13.7</v>
      </c>
      <c r="D35" s="58">
        <v>8.6</v>
      </c>
      <c r="E35" s="58">
        <v>16.5</v>
      </c>
      <c r="F35" s="59">
        <v>17.3</v>
      </c>
    </row>
    <row r="36" spans="1:6" ht="15" customHeight="1" x14ac:dyDescent="0.25">
      <c r="A36" s="222"/>
      <c r="B36" s="44" t="s">
        <v>85</v>
      </c>
      <c r="C36" s="45">
        <v>13.2</v>
      </c>
      <c r="D36" s="46">
        <v>7.4</v>
      </c>
      <c r="E36" s="46">
        <v>29.6</v>
      </c>
      <c r="F36" s="47">
        <v>31.5</v>
      </c>
    </row>
    <row r="37" spans="1:6" ht="15" customHeight="1" x14ac:dyDescent="0.25">
      <c r="A37" s="218" t="s">
        <v>15</v>
      </c>
      <c r="B37" s="16" t="s">
        <v>90</v>
      </c>
      <c r="C37" s="32">
        <v>15.2</v>
      </c>
      <c r="D37" s="22">
        <v>14.3</v>
      </c>
      <c r="E37" s="22" t="s">
        <v>14</v>
      </c>
      <c r="F37" s="23" t="s">
        <v>14</v>
      </c>
    </row>
    <row r="38" spans="1:6" ht="15" customHeight="1" x14ac:dyDescent="0.25">
      <c r="A38" s="223"/>
      <c r="B38" s="17" t="s">
        <v>91</v>
      </c>
      <c r="C38" s="33">
        <v>16</v>
      </c>
      <c r="D38" s="24">
        <v>6.6</v>
      </c>
      <c r="E38" s="24">
        <v>30.7</v>
      </c>
      <c r="F38" s="25">
        <v>27.2</v>
      </c>
    </row>
    <row r="39" spans="1:6" ht="15" customHeight="1" x14ac:dyDescent="0.25">
      <c r="A39" s="223"/>
      <c r="B39" s="17" t="s">
        <v>92</v>
      </c>
      <c r="C39" s="33">
        <v>13.1</v>
      </c>
      <c r="D39" s="24">
        <v>7.3</v>
      </c>
      <c r="E39" s="24">
        <v>34.9</v>
      </c>
      <c r="F39" s="25">
        <v>18.5</v>
      </c>
    </row>
    <row r="40" spans="1:6" ht="15" customHeight="1" x14ac:dyDescent="0.25">
      <c r="A40" s="223"/>
      <c r="B40" s="17" t="s">
        <v>93</v>
      </c>
      <c r="C40" s="33">
        <v>10.199999999999999</v>
      </c>
      <c r="D40" s="24">
        <v>6.5</v>
      </c>
      <c r="E40" s="24">
        <v>34.9</v>
      </c>
      <c r="F40" s="25">
        <v>31.6</v>
      </c>
    </row>
    <row r="41" spans="1:6" ht="15" customHeight="1" x14ac:dyDescent="0.25">
      <c r="A41" s="219"/>
      <c r="B41" s="19" t="s">
        <v>94</v>
      </c>
      <c r="C41" s="34">
        <v>20.5</v>
      </c>
      <c r="D41" s="26">
        <v>7.1</v>
      </c>
      <c r="E41" s="26">
        <v>37.9</v>
      </c>
      <c r="F41" s="27">
        <v>37</v>
      </c>
    </row>
    <row r="42" spans="1:6" ht="15" customHeight="1" x14ac:dyDescent="0.25">
      <c r="A42" s="213" t="s">
        <v>16</v>
      </c>
      <c r="B42" s="36" t="s">
        <v>95</v>
      </c>
      <c r="C42" s="48">
        <v>11.8</v>
      </c>
      <c r="D42" s="49">
        <v>7.6</v>
      </c>
      <c r="E42" s="49">
        <v>40.9</v>
      </c>
      <c r="F42" s="50">
        <v>31.7</v>
      </c>
    </row>
    <row r="43" spans="1:6" ht="15" customHeight="1" x14ac:dyDescent="0.25">
      <c r="A43" s="214"/>
      <c r="B43" s="40" t="s">
        <v>96</v>
      </c>
      <c r="C43" s="51">
        <v>15.3</v>
      </c>
      <c r="D43" s="52">
        <v>15.9</v>
      </c>
      <c r="E43" s="52" t="s">
        <v>14</v>
      </c>
      <c r="F43" s="53" t="s">
        <v>14</v>
      </c>
    </row>
    <row r="44" spans="1:6" ht="15" customHeight="1" x14ac:dyDescent="0.25">
      <c r="A44" s="215"/>
      <c r="B44" s="44" t="s">
        <v>97</v>
      </c>
      <c r="C44" s="45">
        <v>18.600000000000001</v>
      </c>
      <c r="D44" s="46">
        <v>26.6</v>
      </c>
      <c r="E44" s="46">
        <v>41.7</v>
      </c>
      <c r="F44" s="47">
        <v>13.9</v>
      </c>
    </row>
    <row r="45" spans="1:6" ht="15" customHeight="1" x14ac:dyDescent="0.25">
      <c r="A45" s="31" t="s">
        <v>17</v>
      </c>
      <c r="B45" s="28" t="s">
        <v>17</v>
      </c>
      <c r="C45" s="35">
        <v>5.2</v>
      </c>
      <c r="D45" s="29">
        <v>3.5</v>
      </c>
      <c r="E45" s="29">
        <v>28.1</v>
      </c>
      <c r="F45" s="30">
        <v>21.7</v>
      </c>
    </row>
    <row r="46" spans="1:6" ht="15" customHeight="1" x14ac:dyDescent="0.25">
      <c r="A46" s="216" t="s">
        <v>18</v>
      </c>
      <c r="B46" s="36" t="s">
        <v>98</v>
      </c>
      <c r="C46" s="37">
        <v>9.1999999999999993</v>
      </c>
      <c r="D46" s="38">
        <v>10.3</v>
      </c>
      <c r="E46" s="38" t="s">
        <v>14</v>
      </c>
      <c r="F46" s="39" t="s">
        <v>14</v>
      </c>
    </row>
    <row r="47" spans="1:6" ht="15" customHeight="1" x14ac:dyDescent="0.25">
      <c r="A47" s="217"/>
      <c r="B47" s="40" t="s">
        <v>99</v>
      </c>
      <c r="C47" s="41">
        <v>7</v>
      </c>
      <c r="D47" s="42">
        <v>5.2</v>
      </c>
      <c r="E47" s="42">
        <v>29.1</v>
      </c>
      <c r="F47" s="43">
        <v>25.6</v>
      </c>
    </row>
    <row r="48" spans="1:6" ht="15" customHeight="1" x14ac:dyDescent="0.25">
      <c r="A48" s="217"/>
      <c r="B48" s="40" t="s">
        <v>100</v>
      </c>
      <c r="C48" s="51">
        <v>8.6999999999999993</v>
      </c>
      <c r="D48" s="52">
        <v>7.5</v>
      </c>
      <c r="E48" s="52">
        <v>42.3</v>
      </c>
      <c r="F48" s="53">
        <v>36.4</v>
      </c>
    </row>
    <row r="49" spans="1:14" ht="15" customHeight="1" x14ac:dyDescent="0.25">
      <c r="A49" s="217"/>
      <c r="B49" s="40" t="s">
        <v>101</v>
      </c>
      <c r="C49" s="51">
        <v>7.2</v>
      </c>
      <c r="D49" s="52">
        <v>5</v>
      </c>
      <c r="E49" s="52">
        <v>42</v>
      </c>
      <c r="F49" s="53">
        <v>29.6</v>
      </c>
    </row>
    <row r="50" spans="1:14" ht="15" customHeight="1" x14ac:dyDescent="0.25">
      <c r="A50" s="215"/>
      <c r="B50" s="44" t="s">
        <v>102</v>
      </c>
      <c r="C50" s="45">
        <v>9.6</v>
      </c>
      <c r="D50" s="46">
        <v>7.5</v>
      </c>
      <c r="E50" s="46">
        <v>65.099999999999994</v>
      </c>
      <c r="F50" s="47">
        <v>31.5</v>
      </c>
    </row>
    <row r="51" spans="1:14" ht="15" customHeight="1" x14ac:dyDescent="0.25">
      <c r="A51" s="224" t="s">
        <v>19</v>
      </c>
      <c r="B51" s="21" t="s">
        <v>103</v>
      </c>
      <c r="C51" s="32">
        <v>6.6</v>
      </c>
      <c r="D51" s="22">
        <v>3.6</v>
      </c>
      <c r="E51" s="22">
        <v>22</v>
      </c>
      <c r="F51" s="23">
        <v>13.8</v>
      </c>
    </row>
    <row r="52" spans="1:14" ht="15" customHeight="1" x14ac:dyDescent="0.25">
      <c r="A52" s="225"/>
      <c r="B52" s="18" t="s">
        <v>104</v>
      </c>
      <c r="C52" s="33">
        <v>5.4</v>
      </c>
      <c r="D52" s="24">
        <v>5</v>
      </c>
      <c r="E52" s="24">
        <v>15.7</v>
      </c>
      <c r="F52" s="25">
        <v>14.8</v>
      </c>
    </row>
    <row r="53" spans="1:14" ht="15" customHeight="1" x14ac:dyDescent="0.25">
      <c r="A53" s="225"/>
      <c r="B53" s="18" t="s">
        <v>105</v>
      </c>
      <c r="C53" s="33">
        <v>4.5999999999999996</v>
      </c>
      <c r="D53" s="24">
        <v>3.2</v>
      </c>
      <c r="E53" s="24" t="s">
        <v>14</v>
      </c>
      <c r="F53" s="25" t="s">
        <v>14</v>
      </c>
    </row>
    <row r="54" spans="1:14" ht="15" customHeight="1" x14ac:dyDescent="0.25">
      <c r="A54" s="219"/>
      <c r="B54" s="19" t="s">
        <v>106</v>
      </c>
      <c r="C54" s="34">
        <v>28.8</v>
      </c>
      <c r="D54" s="26">
        <v>25.2</v>
      </c>
      <c r="E54" s="26" t="s">
        <v>14</v>
      </c>
      <c r="F54" s="27" t="s">
        <v>14</v>
      </c>
    </row>
    <row r="55" spans="1:14" ht="15" customHeight="1" x14ac:dyDescent="0.25">
      <c r="A55" s="220" t="s">
        <v>109</v>
      </c>
      <c r="B55" s="36" t="s">
        <v>107</v>
      </c>
      <c r="C55" s="37">
        <v>40.799999999999997</v>
      </c>
      <c r="D55" s="38">
        <v>32</v>
      </c>
      <c r="E55" s="38">
        <v>114.1</v>
      </c>
      <c r="F55" s="39">
        <v>72.5</v>
      </c>
    </row>
    <row r="56" spans="1:14" ht="15" customHeight="1" x14ac:dyDescent="0.25">
      <c r="A56" s="222"/>
      <c r="B56" s="44" t="s">
        <v>20</v>
      </c>
      <c r="C56" s="60">
        <v>24.5</v>
      </c>
      <c r="D56" s="61">
        <v>4.8</v>
      </c>
      <c r="E56" s="61">
        <v>33.299999999999997</v>
      </c>
      <c r="F56" s="62">
        <v>23.5</v>
      </c>
    </row>
    <row r="57" spans="1:14" ht="15" customHeight="1" x14ac:dyDescent="0.25">
      <c r="A57" s="31" t="s">
        <v>21</v>
      </c>
      <c r="B57" s="28" t="s">
        <v>21</v>
      </c>
      <c r="C57" s="35">
        <v>4.5</v>
      </c>
      <c r="D57" s="29">
        <v>1.6</v>
      </c>
      <c r="E57" s="29">
        <v>13.9</v>
      </c>
      <c r="F57" s="30">
        <v>16.5</v>
      </c>
    </row>
    <row r="58" spans="1:14" ht="15" customHeight="1" thickBot="1" x14ac:dyDescent="0.3">
      <c r="B58" s="7"/>
      <c r="D58"/>
    </row>
    <row r="59" spans="1:14" ht="101.25" customHeight="1" x14ac:dyDescent="0.25">
      <c r="B59" s="209" t="s">
        <v>22</v>
      </c>
      <c r="C59" s="209"/>
      <c r="D59" s="209"/>
      <c r="E59" s="209" t="s">
        <v>28</v>
      </c>
      <c r="F59" s="209"/>
      <c r="G59" s="209"/>
      <c r="H59" s="209"/>
      <c r="I59" s="209"/>
      <c r="J59" s="209"/>
      <c r="K59" s="209"/>
      <c r="L59" s="209"/>
      <c r="M59" s="209"/>
      <c r="N59" s="209"/>
    </row>
    <row r="61" spans="1:14" x14ac:dyDescent="0.25">
      <c r="A61" t="s">
        <v>113</v>
      </c>
      <c r="B61" t="s">
        <v>24</v>
      </c>
    </row>
    <row r="62" spans="1:14" x14ac:dyDescent="0.25">
      <c r="A62" t="s">
        <v>114</v>
      </c>
      <c r="B62" t="s">
        <v>115</v>
      </c>
    </row>
  </sheetData>
  <mergeCells count="17">
    <mergeCell ref="B59:D59"/>
    <mergeCell ref="E2:F2"/>
    <mergeCell ref="E59:N59"/>
    <mergeCell ref="C2:D2"/>
    <mergeCell ref="A4:A9"/>
    <mergeCell ref="A10:A12"/>
    <mergeCell ref="A13:A16"/>
    <mergeCell ref="A17:A20"/>
    <mergeCell ref="A21:A25"/>
    <mergeCell ref="A26:A28"/>
    <mergeCell ref="A29:A30"/>
    <mergeCell ref="A31:A36"/>
    <mergeCell ref="A37:A41"/>
    <mergeCell ref="A42:A44"/>
    <mergeCell ref="A46:A50"/>
    <mergeCell ref="A51:A54"/>
    <mergeCell ref="A55:A56"/>
  </mergeCells>
  <pageMargins left="0.7" right="0.7" top="0.6" bottom="0.6" header="0.3" footer="0.3"/>
  <pageSetup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004F-B2E1-4434-A43D-9B6FC278C1FE}">
  <sheetPr>
    <tabColor theme="8"/>
  </sheetPr>
  <dimension ref="A1:C51"/>
  <sheetViews>
    <sheetView showGridLines="0" topLeftCell="A4" zoomScaleNormal="100" workbookViewId="0">
      <selection activeCell="B11" sqref="B11"/>
    </sheetView>
  </sheetViews>
  <sheetFormatPr defaultRowHeight="15" x14ac:dyDescent="0.25"/>
  <cols>
    <col min="1" max="1" width="52" style="146" customWidth="1"/>
    <col min="2" max="2" width="12" bestFit="1" customWidth="1"/>
    <col min="3" max="3" width="14.28515625" customWidth="1"/>
  </cols>
  <sheetData>
    <row r="1" spans="1:3" ht="17.25" x14ac:dyDescent="0.3">
      <c r="A1" s="165" t="s">
        <v>313</v>
      </c>
    </row>
    <row r="2" spans="1:3" ht="17.25" x14ac:dyDescent="0.3">
      <c r="A2" s="166" t="s">
        <v>314</v>
      </c>
    </row>
    <row r="3" spans="1:3" ht="6.95" customHeight="1" x14ac:dyDescent="0.3">
      <c r="A3" s="160"/>
    </row>
    <row r="4" spans="1:3" ht="88.5" customHeight="1" x14ac:dyDescent="0.25">
      <c r="A4" s="199" t="s">
        <v>320</v>
      </c>
      <c r="B4" s="199"/>
      <c r="C4" s="199"/>
    </row>
    <row r="5" spans="1:3" ht="6.95" customHeight="1" x14ac:dyDescent="0.25"/>
    <row r="6" spans="1:3" ht="18" x14ac:dyDescent="0.35">
      <c r="A6" s="146" t="s">
        <v>207</v>
      </c>
      <c r="B6" s="102">
        <f>B51</f>
        <v>0</v>
      </c>
      <c r="C6" t="s">
        <v>275</v>
      </c>
    </row>
    <row r="7" spans="1:3" ht="15.75" thickBot="1" x14ac:dyDescent="0.3"/>
    <row r="8" spans="1:3" x14ac:dyDescent="0.25">
      <c r="A8" s="161" t="s">
        <v>279</v>
      </c>
      <c r="B8" s="89"/>
      <c r="C8" s="90"/>
    </row>
    <row r="9" spans="1:3" x14ac:dyDescent="0.25">
      <c r="A9" s="162" t="s">
        <v>251</v>
      </c>
      <c r="C9" s="91"/>
    </row>
    <row r="10" spans="1:3" x14ac:dyDescent="0.25">
      <c r="A10" s="163" t="s">
        <v>179</v>
      </c>
      <c r="B10" s="5">
        <f>'Calculation Details'!B19</f>
        <v>39500</v>
      </c>
      <c r="C10" s="91" t="s">
        <v>5</v>
      </c>
    </row>
    <row r="11" spans="1:3" x14ac:dyDescent="0.25">
      <c r="A11" s="163" t="s">
        <v>182</v>
      </c>
      <c r="B11" s="159">
        <v>0</v>
      </c>
      <c r="C11" s="91" t="s">
        <v>5</v>
      </c>
    </row>
    <row r="12" spans="1:3" x14ac:dyDescent="0.25">
      <c r="A12" s="163" t="s">
        <v>228</v>
      </c>
      <c r="B12" s="99">
        <f>B11/B10</f>
        <v>0</v>
      </c>
      <c r="C12" s="91"/>
    </row>
    <row r="13" spans="1:3" ht="18.75" thickBot="1" x14ac:dyDescent="0.4">
      <c r="A13" s="164" t="s">
        <v>298</v>
      </c>
      <c r="B13" s="121">
        <f>$B$11*'Standard Values'!B8</f>
        <v>0</v>
      </c>
      <c r="C13" s="92" t="s">
        <v>301</v>
      </c>
    </row>
    <row r="14" spans="1:3" ht="15.75" thickBot="1" x14ac:dyDescent="0.3"/>
    <row r="15" spans="1:3" x14ac:dyDescent="0.25">
      <c r="A15" s="161" t="s">
        <v>315</v>
      </c>
      <c r="B15" s="89"/>
      <c r="C15" s="90"/>
    </row>
    <row r="16" spans="1:3" x14ac:dyDescent="0.25">
      <c r="A16" s="162" t="s">
        <v>251</v>
      </c>
      <c r="C16" s="91"/>
    </row>
    <row r="17" spans="1:3" x14ac:dyDescent="0.25">
      <c r="A17" s="163" t="s">
        <v>179</v>
      </c>
      <c r="B17" s="5">
        <f>'Calculation Details'!B19</f>
        <v>39500</v>
      </c>
      <c r="C17" s="91" t="s">
        <v>5</v>
      </c>
    </row>
    <row r="18" spans="1:3" x14ac:dyDescent="0.25">
      <c r="A18" s="163" t="s">
        <v>181</v>
      </c>
      <c r="B18" s="159">
        <v>0</v>
      </c>
      <c r="C18" s="91" t="s">
        <v>5</v>
      </c>
    </row>
    <row r="19" spans="1:3" x14ac:dyDescent="0.25">
      <c r="A19" s="163" t="s">
        <v>228</v>
      </c>
      <c r="B19" s="99">
        <f>B18/B17</f>
        <v>0</v>
      </c>
      <c r="C19" s="91"/>
    </row>
    <row r="20" spans="1:3" ht="18.75" thickBot="1" x14ac:dyDescent="0.4">
      <c r="A20" s="164" t="s">
        <v>298</v>
      </c>
      <c r="B20" s="121">
        <f>$B$18*'Standard Values'!B8</f>
        <v>0</v>
      </c>
      <c r="C20" s="92" t="s">
        <v>301</v>
      </c>
    </row>
    <row r="21" spans="1:3" ht="15.75" thickBot="1" x14ac:dyDescent="0.3"/>
    <row r="22" spans="1:3" x14ac:dyDescent="0.25">
      <c r="A22" s="161" t="s">
        <v>316</v>
      </c>
      <c r="B22" s="89"/>
      <c r="C22" s="90"/>
    </row>
    <row r="23" spans="1:3" x14ac:dyDescent="0.25">
      <c r="A23" s="162" t="s">
        <v>251</v>
      </c>
      <c r="C23" s="91"/>
    </row>
    <row r="24" spans="1:3" x14ac:dyDescent="0.25">
      <c r="A24" s="163" t="s">
        <v>229</v>
      </c>
      <c r="B24" s="159">
        <v>0</v>
      </c>
      <c r="C24" s="91" t="s">
        <v>5</v>
      </c>
    </row>
    <row r="25" spans="1:3" ht="18" x14ac:dyDescent="0.35">
      <c r="A25" s="163" t="s">
        <v>298</v>
      </c>
      <c r="B25" s="122">
        <f>B24*'Standard Values'!B8</f>
        <v>0</v>
      </c>
      <c r="C25" s="91" t="s">
        <v>275</v>
      </c>
    </row>
    <row r="26" spans="1:3" x14ac:dyDescent="0.25">
      <c r="A26" s="163" t="s">
        <v>200</v>
      </c>
      <c r="B26" s="159">
        <v>0</v>
      </c>
      <c r="C26" s="91" t="s">
        <v>4</v>
      </c>
    </row>
    <row r="27" spans="1:3" ht="18.75" thickBot="1" x14ac:dyDescent="0.4">
      <c r="A27" s="164" t="s">
        <v>299</v>
      </c>
      <c r="B27" s="121">
        <f>B26*'Standard Values'!B9</f>
        <v>0</v>
      </c>
      <c r="C27" s="92" t="s">
        <v>301</v>
      </c>
    </row>
    <row r="28" spans="1:3" ht="15.75" thickBot="1" x14ac:dyDescent="0.3"/>
    <row r="29" spans="1:3" x14ac:dyDescent="0.25">
      <c r="A29" s="161" t="s">
        <v>317</v>
      </c>
      <c r="B29" s="89"/>
      <c r="C29" s="90"/>
    </row>
    <row r="30" spans="1:3" x14ac:dyDescent="0.25">
      <c r="A30" s="162" t="s">
        <v>251</v>
      </c>
      <c r="C30" s="91"/>
    </row>
    <row r="31" spans="1:3" x14ac:dyDescent="0.25">
      <c r="A31" s="163" t="s">
        <v>186</v>
      </c>
      <c r="B31" s="154" t="s">
        <v>196</v>
      </c>
      <c r="C31" s="91"/>
    </row>
    <row r="32" spans="1:3" x14ac:dyDescent="0.25">
      <c r="A32" s="163" t="s">
        <v>180</v>
      </c>
      <c r="B32">
        <f>IF(B31="YES",'Calculation Details'!B20,0)</f>
        <v>0</v>
      </c>
      <c r="C32" s="91" t="s">
        <v>4</v>
      </c>
    </row>
    <row r="33" spans="1:3" ht="18.75" thickBot="1" x14ac:dyDescent="0.4">
      <c r="A33" s="164" t="s">
        <v>299</v>
      </c>
      <c r="B33" s="123">
        <f>B32*'Standard Values'!B9</f>
        <v>0</v>
      </c>
      <c r="C33" s="92" t="s">
        <v>301</v>
      </c>
    </row>
    <row r="34" spans="1:3" ht="15.75" thickBot="1" x14ac:dyDescent="0.3"/>
    <row r="35" spans="1:3" x14ac:dyDescent="0.25">
      <c r="A35" s="161" t="s">
        <v>318</v>
      </c>
      <c r="B35" s="89"/>
      <c r="C35" s="90"/>
    </row>
    <row r="36" spans="1:3" x14ac:dyDescent="0.25">
      <c r="A36" s="162" t="s">
        <v>252</v>
      </c>
      <c r="C36" s="91"/>
    </row>
    <row r="37" spans="1:3" x14ac:dyDescent="0.25">
      <c r="A37" s="163" t="s">
        <v>187</v>
      </c>
      <c r="B37" s="154" t="s">
        <v>196</v>
      </c>
      <c r="C37" s="91"/>
    </row>
    <row r="38" spans="1:3" ht="18" x14ac:dyDescent="0.35">
      <c r="A38" s="163" t="s">
        <v>183</v>
      </c>
      <c r="B38" s="100">
        <f>IF(B37="YES",'Calculation Details'!B27,0)</f>
        <v>0</v>
      </c>
      <c r="C38" s="91" t="s">
        <v>275</v>
      </c>
    </row>
    <row r="39" spans="1:3" x14ac:dyDescent="0.25">
      <c r="A39" s="163" t="s">
        <v>184</v>
      </c>
      <c r="B39" s="101">
        <f>AVERAGE(0.31,0.33,0.3)</f>
        <v>0.3133333333333333</v>
      </c>
      <c r="C39" s="91"/>
    </row>
    <row r="40" spans="1:3" ht="18.75" thickBot="1" x14ac:dyDescent="0.4">
      <c r="A40" s="164" t="s">
        <v>231</v>
      </c>
      <c r="B40" s="123">
        <f>B39*B38</f>
        <v>0</v>
      </c>
      <c r="C40" s="92" t="s">
        <v>301</v>
      </c>
    </row>
    <row r="41" spans="1:3" ht="15.75" thickBot="1" x14ac:dyDescent="0.3"/>
    <row r="42" spans="1:3" x14ac:dyDescent="0.25">
      <c r="A42" s="161" t="s">
        <v>319</v>
      </c>
      <c r="B42" s="89"/>
      <c r="C42" s="90"/>
    </row>
    <row r="43" spans="1:3" x14ac:dyDescent="0.25">
      <c r="A43" s="162" t="s">
        <v>253</v>
      </c>
      <c r="C43" s="91"/>
    </row>
    <row r="44" spans="1:3" x14ac:dyDescent="0.25">
      <c r="A44" s="163" t="s">
        <v>239</v>
      </c>
      <c r="B44" s="154">
        <v>0</v>
      </c>
      <c r="C44" s="91" t="s">
        <v>185</v>
      </c>
    </row>
    <row r="45" spans="1:3" ht="18.75" thickBot="1" x14ac:dyDescent="0.4">
      <c r="A45" s="164" t="s">
        <v>232</v>
      </c>
      <c r="B45" s="123">
        <f>B44*'Projected Transportation'!B6</f>
        <v>0</v>
      </c>
      <c r="C45" s="92" t="s">
        <v>301</v>
      </c>
    </row>
    <row r="47" spans="1:3" ht="18" x14ac:dyDescent="0.35">
      <c r="A47" s="146" t="s">
        <v>203</v>
      </c>
      <c r="B47" s="102">
        <f>B13+B20+B25</f>
        <v>0</v>
      </c>
      <c r="C47" t="s">
        <v>275</v>
      </c>
    </row>
    <row r="48" spans="1:3" ht="18" x14ac:dyDescent="0.35">
      <c r="A48" s="146" t="s">
        <v>204</v>
      </c>
      <c r="B48" s="102">
        <f>B27+B33</f>
        <v>0</v>
      </c>
      <c r="C48" t="s">
        <v>275</v>
      </c>
    </row>
    <row r="49" spans="1:3" ht="18" x14ac:dyDescent="0.35">
      <c r="A49" s="146" t="s">
        <v>206</v>
      </c>
      <c r="B49" s="102">
        <f>B45</f>
        <v>0</v>
      </c>
      <c r="C49" t="s">
        <v>275</v>
      </c>
    </row>
    <row r="50" spans="1:3" ht="18" x14ac:dyDescent="0.35">
      <c r="A50" s="146" t="s">
        <v>205</v>
      </c>
      <c r="B50" s="102">
        <f>B40</f>
        <v>0</v>
      </c>
      <c r="C50" t="s">
        <v>275</v>
      </c>
    </row>
    <row r="51" spans="1:3" ht="18" x14ac:dyDescent="0.35">
      <c r="A51" s="146" t="s">
        <v>207</v>
      </c>
      <c r="B51" s="138">
        <f>SUM(B47:B50)</f>
        <v>0</v>
      </c>
      <c r="C51" s="139" t="s">
        <v>275</v>
      </c>
    </row>
  </sheetData>
  <sheetProtection algorithmName="SHA-512" hashValue="MXrRQx9568IrAAWm2zv03E7EZ3lnPMDJtGZ8YoBIrX6Nugal1BhiwhY+a42zrd3ljnRglFwuYsuSW/QUAM0kiw==" saltValue="i+hO6T++8u/vmxU8J5rcqA==" spinCount="100000" sheet="1" objects="1" scenarios="1"/>
  <mergeCells count="1">
    <mergeCell ref="A4:C4"/>
  </mergeCells>
  <dataValidations xWindow="450" yWindow="500" count="5">
    <dataValidation allowBlank="1" showInputMessage="1" showErrorMessage="1" promptTitle="Renewable Energy System" prompt="If electricity use is expected to increase from the renewable energy system, enter the increase as a negative value. For example, if installation of a renewable system will increase electricity consumption by 1,000 kwh, enter &quot;-1000&quot;_x000a_" sqref="B24" xr:uid="{EF42C52B-DD01-44AE-A76D-386BA0CF4393}"/>
    <dataValidation allowBlank="1" showInputMessage="1" showErrorMessage="1" promptTitle="Onsite Renewable Electricity" prompt="Enter in the projected renewable electricity generated, based on the submitted PV Watts calculator results (pvwatts.nrel.gov) or vendor documentation. If an energy model is being submitted and already accounts for renewable energy, leave this value as &quot;0&quot;" sqref="B11" xr:uid="{0C77CB01-1008-4876-BD03-000098A09B4B}"/>
    <dataValidation allowBlank="1" showInputMessage="1" showErrorMessage="1" promptTitle="EV Above Code Parking" prompt="Enter in the number of parkings spaces with installed EV charging systems (above minimum required by code - see Zoning Ordinance Article 8). " sqref="B44" xr:uid="{DB2FB308-60EF-49AE-9F5A-3B248C03A1FF}"/>
    <dataValidation allowBlank="1" showInputMessage="1" showErrorMessage="1" promptTitle="Offsite Renewable Electricity" prompt="Enter in the projected renewable electricity generated, based on the submitted vendor documentation. If an energy model is being submitted and already accounts for renewable energy, leave this value as &quot;0&quot;" sqref="B18" xr:uid="{711364FF-61EF-4B1E-A7B5-8FF617F2B767}"/>
    <dataValidation allowBlank="1" showInputMessage="1" showErrorMessage="1" promptTitle="Renewable Energy Systems " prompt="Enter in the proposed natural gas use reduction from the Renewable Energy System." sqref="B26" xr:uid="{6F629CCF-49AA-451A-B8CE-30300310CEBE}"/>
  </dataValidations>
  <pageMargins left="0.7" right="0.7" top="0.75" bottom="0.75" header="0.3" footer="0.3"/>
  <pageSetup scale="88" orientation="portrait" horizontalDpi="1200" verticalDpi="1200" r:id="rId1"/>
  <headerFooter>
    <oddHeader>&amp;LNon-Residential Greenhouse Gas Mitigation Program Applicant Worksheet&amp;RPrinted &amp;D
 (Version 12/27/2023)</oddHeader>
  </headerFooter>
  <drawing r:id="rId2"/>
  <extLst>
    <ext xmlns:x14="http://schemas.microsoft.com/office/spreadsheetml/2009/9/main" uri="{CCE6A557-97BC-4b89-ADB6-D9C93CAAB3DF}">
      <x14:dataValidations xmlns:xm="http://schemas.microsoft.com/office/excel/2006/main" xWindow="450" yWindow="500" count="2">
        <x14:dataValidation type="list" allowBlank="1" showInputMessage="1" showErrorMessage="1" promptTitle="Recycling / Composting" prompt="Will the project have a 2-year minimum contractor for recycling AND compost pickup services?" xr:uid="{6DB80C34-B1BF-45CA-B398-63F6E6CEC434}">
          <x14:formula1>
            <xm:f>'Standard Values'!$A$29:$A$30</xm:f>
          </x14:formula1>
          <xm:sqref>B37</xm:sqref>
        </x14:dataValidation>
        <x14:dataValidation type="list" allowBlank="1" showInputMessage="1" showErrorMessage="1" promptTitle="Building Electrification" prompt="Does the project use electricity only for space conditioning, water heating, and appliances, with no natural gas service provided to the site?" xr:uid="{E83BB9BB-61C2-4718-8A98-2B35A7325F7F}">
          <x14:formula1>
            <xm:f>'Standard Values'!$A$29:$A$30</xm:f>
          </x14:formula1>
          <xm:sqref>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zoomScaleNormal="100" workbookViewId="0">
      <selection activeCell="A20" sqref="A20"/>
    </sheetView>
  </sheetViews>
  <sheetFormatPr defaultColWidth="9.140625" defaultRowHeight="15" x14ac:dyDescent="0.25"/>
  <cols>
    <col min="1" max="1" width="63.85546875" style="1" customWidth="1"/>
    <col min="2" max="2" width="30.85546875" style="1" customWidth="1"/>
    <col min="3" max="3" width="21.85546875" style="1" customWidth="1"/>
    <col min="4" max="5" width="14" style="1" customWidth="1"/>
    <col min="6" max="8" width="21.85546875" style="1" customWidth="1"/>
    <col min="9" max="9" width="161.28515625" style="1" bestFit="1" customWidth="1"/>
    <col min="10" max="16384" width="9.140625" style="1"/>
  </cols>
  <sheetData>
    <row r="1" spans="1:5" ht="29.45" customHeight="1" x14ac:dyDescent="0.25">
      <c r="A1" s="201" t="s">
        <v>321</v>
      </c>
      <c r="B1" s="202"/>
      <c r="C1" s="203"/>
    </row>
    <row r="2" spans="1:5" x14ac:dyDescent="0.25">
      <c r="A2" s="204" t="s">
        <v>227</v>
      </c>
      <c r="B2" s="205"/>
      <c r="C2" s="206"/>
    </row>
    <row r="4" spans="1:5" x14ac:dyDescent="0.25">
      <c r="A4" s="74" t="s">
        <v>133</v>
      </c>
      <c r="B4" s="1" t="str">
        <f>'Applicant Input &amp; Summary'!B12</f>
        <v>Lakewood Project 1234</v>
      </c>
    </row>
    <row r="5" spans="1:5" x14ac:dyDescent="0.25">
      <c r="A5" s="74" t="s">
        <v>167</v>
      </c>
      <c r="B5" s="1" t="str">
        <f>'Applicant Input &amp; Summary'!B13</f>
        <v>470 S Allison Parkway, Lakewood CO 80226</v>
      </c>
    </row>
    <row r="6" spans="1:5" ht="33" customHeight="1" x14ac:dyDescent="0.25">
      <c r="A6" s="74" t="s">
        <v>168</v>
      </c>
      <c r="B6" s="115" t="str">
        <f>'Applicant Input &amp; Summary'!B14</f>
        <v>Education</v>
      </c>
    </row>
    <row r="7" spans="1:5" x14ac:dyDescent="0.25">
      <c r="A7" s="74" t="s">
        <v>169</v>
      </c>
      <c r="B7" s="116">
        <f>'Applicant Input &amp; Summary'!B15</f>
        <v>5000</v>
      </c>
      <c r="C7" s="1" t="s">
        <v>1</v>
      </c>
    </row>
    <row r="9" spans="1:5" x14ac:dyDescent="0.25">
      <c r="A9" s="64" t="s">
        <v>175</v>
      </c>
      <c r="D9" s="64"/>
      <c r="E9" s="64"/>
    </row>
    <row r="10" spans="1:5" x14ac:dyDescent="0.25">
      <c r="D10" s="64"/>
      <c r="E10" s="64"/>
    </row>
    <row r="11" spans="1:5" ht="18" x14ac:dyDescent="0.35">
      <c r="A11" s="74" t="s">
        <v>214</v>
      </c>
      <c r="B11" s="72">
        <f>B7*'Performance Std - Source Data'!B19</f>
        <v>18.15951476024415</v>
      </c>
      <c r="C11" s="1" t="s">
        <v>275</v>
      </c>
      <c r="D11" s="64"/>
      <c r="E11" s="64"/>
    </row>
    <row r="12" spans="1:5" ht="18" x14ac:dyDescent="0.35">
      <c r="A12" s="74" t="s">
        <v>215</v>
      </c>
      <c r="B12" s="72">
        <f>B7*'Performance Std - Source Data'!C19</f>
        <v>6.6158529229945602</v>
      </c>
      <c r="C12" s="1" t="s">
        <v>275</v>
      </c>
      <c r="D12" s="64"/>
      <c r="E12" s="64"/>
    </row>
    <row r="13" spans="1:5" ht="18" x14ac:dyDescent="0.35">
      <c r="A13" s="74" t="s">
        <v>172</v>
      </c>
      <c r="B13" s="72">
        <v>0</v>
      </c>
      <c r="C13" s="1" t="s">
        <v>275</v>
      </c>
      <c r="D13" s="64"/>
      <c r="E13" s="64"/>
    </row>
    <row r="14" spans="1:5" ht="18" x14ac:dyDescent="0.35">
      <c r="A14" s="74" t="s">
        <v>173</v>
      </c>
      <c r="B14" s="72">
        <f>B7*'Performance Std - Source Data'!D19</f>
        <v>0.63670925563504643</v>
      </c>
      <c r="C14" s="1" t="s">
        <v>275</v>
      </c>
      <c r="D14" s="64"/>
      <c r="E14" s="64"/>
    </row>
    <row r="15" spans="1:5" ht="18" x14ac:dyDescent="0.35">
      <c r="A15" s="74" t="s">
        <v>174</v>
      </c>
      <c r="B15" s="135">
        <f>SUM(B11:B14)</f>
        <v>25.412076938873756</v>
      </c>
      <c r="C15" s="66" t="s">
        <v>275</v>
      </c>
      <c r="D15" s="64"/>
      <c r="E15" s="64"/>
    </row>
    <row r="16" spans="1:5" x14ac:dyDescent="0.25">
      <c r="D16" s="64"/>
      <c r="E16" s="64"/>
    </row>
    <row r="17" spans="1:3" x14ac:dyDescent="0.25">
      <c r="A17" s="64" t="s">
        <v>201</v>
      </c>
    </row>
    <row r="18" spans="1:3" x14ac:dyDescent="0.25">
      <c r="A18" s="142" t="s">
        <v>176</v>
      </c>
    </row>
    <row r="19" spans="1:3" x14ac:dyDescent="0.25">
      <c r="A19" s="3" t="s">
        <v>2</v>
      </c>
      <c r="B19" s="133">
        <f>IF(ISBLANK('Applicant Input &amp; Summary'!B18),VLOOKUP(B6,'Projected Energy'!A2:C34,2,FALSE)*B7,'Applicant Input &amp; Summary'!B18)</f>
        <v>39500</v>
      </c>
      <c r="C19" s="1" t="s">
        <v>5</v>
      </c>
    </row>
    <row r="20" spans="1:3" x14ac:dyDescent="0.25">
      <c r="A20" s="3" t="s">
        <v>3</v>
      </c>
      <c r="B20" s="133">
        <f>IF(ISBLANK('Applicant Input &amp; Summary'!B19),VLOOKUP(B6,'Projected Energy'!A2:C34,3,FALSE)*'Standard Values'!B6*B7,'Applicant Input &amp; Summary'!B19)</f>
        <v>2003.4374999999998</v>
      </c>
      <c r="C20" s="1" t="s">
        <v>4</v>
      </c>
    </row>
    <row r="21" spans="1:3" x14ac:dyDescent="0.25">
      <c r="A21" s="3"/>
      <c r="B21" s="103"/>
    </row>
    <row r="22" spans="1:3" ht="18" x14ac:dyDescent="0.35">
      <c r="A22" s="3" t="s">
        <v>281</v>
      </c>
      <c r="B22" s="134">
        <f>$B$19*'Standard Values'!B8</f>
        <v>16.827000000000002</v>
      </c>
      <c r="C22" s="1" t="s">
        <v>275</v>
      </c>
    </row>
    <row r="23" spans="1:3" ht="18" x14ac:dyDescent="0.35">
      <c r="A23" s="3" t="s">
        <v>282</v>
      </c>
      <c r="B23" s="134">
        <f>$B$20*'Standard Values'!B9</f>
        <v>10.417874999999999</v>
      </c>
      <c r="C23" s="1" t="s">
        <v>275</v>
      </c>
    </row>
    <row r="24" spans="1:3" ht="18" x14ac:dyDescent="0.35">
      <c r="A24" s="3" t="s">
        <v>283</v>
      </c>
      <c r="B24" s="134">
        <f>B22+B23</f>
        <v>27.244875</v>
      </c>
      <c r="C24" s="1" t="s">
        <v>275</v>
      </c>
    </row>
    <row r="25" spans="1:3" x14ac:dyDescent="0.25">
      <c r="A25" s="3"/>
    </row>
    <row r="26" spans="1:3" x14ac:dyDescent="0.25">
      <c r="A26" s="142" t="s">
        <v>177</v>
      </c>
    </row>
    <row r="27" spans="1:3" ht="18" x14ac:dyDescent="0.35">
      <c r="A27" s="3" t="s">
        <v>284</v>
      </c>
      <c r="B27" s="14">
        <f>B7*'Projected Waste'!G4</f>
        <v>2.5777663895457272</v>
      </c>
      <c r="C27" s="1" t="s">
        <v>275</v>
      </c>
    </row>
    <row r="28" spans="1:3" x14ac:dyDescent="0.25">
      <c r="A28" s="3"/>
    </row>
    <row r="29" spans="1:3" ht="18" x14ac:dyDescent="0.35">
      <c r="A29" s="3" t="s">
        <v>221</v>
      </c>
      <c r="B29" s="135">
        <f>SUM(B22:B23,B27)</f>
        <v>29.822641389545726</v>
      </c>
      <c r="C29" s="66" t="s">
        <v>275</v>
      </c>
    </row>
    <row r="30" spans="1:3" x14ac:dyDescent="0.25">
      <c r="A30" s="3"/>
    </row>
    <row r="31" spans="1:3" x14ac:dyDescent="0.25">
      <c r="A31" s="64" t="s">
        <v>178</v>
      </c>
    </row>
    <row r="33" spans="1:8" ht="18" x14ac:dyDescent="0.35">
      <c r="A33" t="s">
        <v>203</v>
      </c>
      <c r="B33" s="72">
        <f>'Mitigated Strategies Input'!B47</f>
        <v>0</v>
      </c>
      <c r="C33" s="1" t="s">
        <v>275</v>
      </c>
    </row>
    <row r="34" spans="1:8" ht="18" x14ac:dyDescent="0.35">
      <c r="A34" t="s">
        <v>204</v>
      </c>
      <c r="B34" s="72">
        <f>'Mitigated Strategies Input'!B48</f>
        <v>0</v>
      </c>
      <c r="C34" s="1" t="s">
        <v>275</v>
      </c>
    </row>
    <row r="35" spans="1:8" ht="18" x14ac:dyDescent="0.35">
      <c r="A35" t="s">
        <v>206</v>
      </c>
      <c r="B35" s="72">
        <f>'Mitigated Strategies Input'!B49</f>
        <v>0</v>
      </c>
      <c r="C35" s="1" t="s">
        <v>275</v>
      </c>
    </row>
    <row r="36" spans="1:8" ht="18" x14ac:dyDescent="0.35">
      <c r="A36" t="s">
        <v>205</v>
      </c>
      <c r="B36" s="72">
        <f>'Mitigated Strategies Input'!B50</f>
        <v>0</v>
      </c>
      <c r="C36" s="1" t="s">
        <v>275</v>
      </c>
    </row>
    <row r="37" spans="1:8" ht="18" x14ac:dyDescent="0.35">
      <c r="A37" s="114" t="s">
        <v>223</v>
      </c>
      <c r="B37" s="135">
        <f>SUM(B33:B36)</f>
        <v>0</v>
      </c>
      <c r="C37" s="66" t="s">
        <v>275</v>
      </c>
    </row>
    <row r="38" spans="1:8" x14ac:dyDescent="0.25">
      <c r="A38"/>
      <c r="B38" s="72"/>
    </row>
    <row r="39" spans="1:8" x14ac:dyDescent="0.25">
      <c r="A39" s="64" t="s">
        <v>202</v>
      </c>
    </row>
    <row r="41" spans="1:8" ht="18" x14ac:dyDescent="0.35">
      <c r="A41" s="1" t="s">
        <v>208</v>
      </c>
      <c r="B41" s="14">
        <f>B22-B33</f>
        <v>16.827000000000002</v>
      </c>
      <c r="C41" s="1" t="s">
        <v>275</v>
      </c>
      <c r="E41" s="113"/>
    </row>
    <row r="42" spans="1:8" ht="18" x14ac:dyDescent="0.35">
      <c r="A42" s="1" t="s">
        <v>209</v>
      </c>
      <c r="B42" s="14">
        <f>B23-B34</f>
        <v>10.417874999999999</v>
      </c>
      <c r="C42" s="1" t="s">
        <v>275</v>
      </c>
    </row>
    <row r="43" spans="1:8" ht="18" x14ac:dyDescent="0.35">
      <c r="A43" s="1" t="s">
        <v>210</v>
      </c>
      <c r="B43" s="14">
        <f>B27-B36</f>
        <v>2.5777663895457272</v>
      </c>
      <c r="C43" s="1" t="s">
        <v>275</v>
      </c>
    </row>
    <row r="44" spans="1:8" ht="18" x14ac:dyDescent="0.35">
      <c r="A44" s="3" t="s">
        <v>224</v>
      </c>
      <c r="B44" s="136">
        <f>B29-B37</f>
        <v>29.822641389545726</v>
      </c>
      <c r="C44" s="66" t="s">
        <v>275</v>
      </c>
    </row>
    <row r="46" spans="1:8" x14ac:dyDescent="0.25">
      <c r="A46" s="64" t="s">
        <v>322</v>
      </c>
    </row>
    <row r="48" spans="1:8" ht="18" x14ac:dyDescent="0.35">
      <c r="A48" s="3" t="s">
        <v>323</v>
      </c>
      <c r="B48" s="135">
        <f>IF(B44-B15&gt;0,B44-B15,0)</f>
        <v>4.4105644506719699</v>
      </c>
      <c r="C48" s="66" t="s">
        <v>275</v>
      </c>
      <c r="D48" s="103"/>
      <c r="F48" s="103"/>
      <c r="H48" s="103"/>
    </row>
    <row r="50" spans="1:6" x14ac:dyDescent="0.25">
      <c r="A50" s="64" t="s">
        <v>216</v>
      </c>
      <c r="F50" s="103"/>
    </row>
    <row r="51" spans="1:6" ht="18" x14ac:dyDescent="0.35">
      <c r="A51" s="3" t="s">
        <v>217</v>
      </c>
      <c r="B51" s="112">
        <f>'Standard Values'!B3</f>
        <v>76</v>
      </c>
      <c r="C51" s="1" t="s">
        <v>276</v>
      </c>
    </row>
    <row r="52" spans="1:6" x14ac:dyDescent="0.25">
      <c r="B52" s="112"/>
    </row>
    <row r="53" spans="1:6" x14ac:dyDescent="0.25">
      <c r="A53" s="3" t="s">
        <v>218</v>
      </c>
      <c r="B53" s="145">
        <f>IF(B48&gt;0,B48*B51*10,0)</f>
        <v>3352.028982510697</v>
      </c>
    </row>
    <row r="54" spans="1:6" x14ac:dyDescent="0.25">
      <c r="A54" s="3" t="s">
        <v>222</v>
      </c>
      <c r="B54" s="106">
        <f>IF(B41&lt;=0,0,B41/SUMIF(B41:B43,"&gt;0"))</f>
        <v>0.56423573553409911</v>
      </c>
    </row>
    <row r="55" spans="1:6" x14ac:dyDescent="0.25">
      <c r="A55" s="3" t="s">
        <v>220</v>
      </c>
      <c r="B55" s="145">
        <f>IF(B53&gt;0,-(1-'Standard Values'!B25)*(B54*B48)*B51*10,0)</f>
        <v>-808.32602312852077</v>
      </c>
    </row>
    <row r="56" spans="1:6" x14ac:dyDescent="0.25">
      <c r="A56" s="3" t="s">
        <v>219</v>
      </c>
      <c r="B56" s="145">
        <f>IF(B53+B55&gt;0,B53+B55,0)</f>
        <v>2543.7029593821762</v>
      </c>
    </row>
  </sheetData>
  <sheetProtection algorithmName="SHA-512" hashValue="7+UQeTMJV+zFZej3fFw8vbMoOsOlbZevxB+KcDXRiDk5VQ/Y9TrE/kPihFaYZMu39ltPaoqYpgz9ztoqD7DOTA==" saltValue="TEUtEJG+sMaEYB+Z/ytFWA==" spinCount="100000" sheet="1" objects="1" scenarios="1"/>
  <dataConsolidate/>
  <mergeCells count="2">
    <mergeCell ref="A1:C1"/>
    <mergeCell ref="A2:C2"/>
  </mergeCells>
  <dataValidations count="2">
    <dataValidation allowBlank="1" showErrorMessage="1" prompt="If projected data is unavailable, leave the boxes blank. Energy Star estimates will be used instead." sqref="B19:B20" xr:uid="{00000000-0002-0000-0400-000000000000}"/>
    <dataValidation allowBlank="1" showErrorMessage="1" promptTitle="Energy Model Input" prompt="If Energy Model is used to determine Final Projected Emissions for electricity and natural gas usage, staff will enter the values here. Applicant should use the electricity and natural gas conversion factors in the &quot;Standard Values&quot; tab." sqref="B41:B42" xr:uid="{EE39D50A-29D7-4E56-BA30-801CFE353DBD}"/>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'Projected Energy'!$A$4:$A$8</xm:f>
          </x14:formula1>
          <xm:sqref>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5"/>
  <sheetViews>
    <sheetView workbookViewId="0">
      <selection activeCell="A3" sqref="A3"/>
    </sheetView>
  </sheetViews>
  <sheetFormatPr defaultRowHeight="15" x14ac:dyDescent="0.25"/>
  <cols>
    <col min="1" max="1" width="39.85546875" customWidth="1"/>
    <col min="2" max="2" width="20" customWidth="1"/>
    <col min="3" max="3" width="19.7109375" customWidth="1"/>
    <col min="4" max="4" width="15.7109375" customWidth="1"/>
    <col min="5" max="5" width="14.140625" customWidth="1"/>
    <col min="6" max="6" width="13" customWidth="1"/>
  </cols>
  <sheetData>
    <row r="1" spans="1:10" x14ac:dyDescent="0.25">
      <c r="A1" t="s">
        <v>233</v>
      </c>
    </row>
    <row r="3" spans="1:10" s="1" customFormat="1" x14ac:dyDescent="0.25">
      <c r="A3" s="64" t="s">
        <v>134</v>
      </c>
    </row>
    <row r="4" spans="1:10" s="1" customFormat="1" x14ac:dyDescent="0.25">
      <c r="A4" s="73"/>
      <c r="B4" s="73"/>
      <c r="C4" s="73"/>
      <c r="D4" s="73"/>
      <c r="E4" s="73"/>
    </row>
    <row r="5" spans="1:10" s="1" customFormat="1" x14ac:dyDescent="0.25">
      <c r="A5" s="76"/>
      <c r="B5" s="77" t="s">
        <v>212</v>
      </c>
      <c r="C5" s="77" t="s">
        <v>213</v>
      </c>
      <c r="D5" s="77" t="s">
        <v>131</v>
      </c>
      <c r="E5" s="77" t="s">
        <v>132</v>
      </c>
      <c r="F5" s="77" t="s">
        <v>126</v>
      </c>
      <c r="G5" s="75"/>
    </row>
    <row r="6" spans="1:10" s="1" customFormat="1" ht="18" x14ac:dyDescent="0.35">
      <c r="A6" s="76" t="s">
        <v>286</v>
      </c>
      <c r="B6" s="78">
        <f>B31</f>
        <v>258712.25890707545</v>
      </c>
      <c r="C6" s="78">
        <f>B29+B30</f>
        <v>199750.90394119199</v>
      </c>
      <c r="D6" s="78">
        <f>SUM(B36:B39)</f>
        <v>479480.07580060384</v>
      </c>
      <c r="E6" s="78">
        <f>B40</f>
        <v>14639.331601395168</v>
      </c>
      <c r="F6" s="78">
        <f>SUM(B6:E6)</f>
        <v>952582.57025026646</v>
      </c>
      <c r="G6" s="75"/>
    </row>
    <row r="7" spans="1:10" s="1" customFormat="1" x14ac:dyDescent="0.25">
      <c r="A7" s="76" t="s">
        <v>119</v>
      </c>
      <c r="B7" s="181" t="s">
        <v>329</v>
      </c>
      <c r="C7" s="182" t="s">
        <v>329</v>
      </c>
      <c r="D7" s="182" t="s">
        <v>329</v>
      </c>
      <c r="E7" s="183" t="s">
        <v>329</v>
      </c>
      <c r="F7" s="192">
        <f>B22</f>
        <v>151411</v>
      </c>
      <c r="G7" s="75"/>
    </row>
    <row r="8" spans="1:10" s="1" customFormat="1" x14ac:dyDescent="0.25">
      <c r="A8" s="76" t="s">
        <v>135</v>
      </c>
      <c r="B8" s="79">
        <f>B6/$F$7</f>
        <v>1.708675452292604</v>
      </c>
      <c r="C8" s="79">
        <f>C6/$F$7</f>
        <v>1.319262827279339</v>
      </c>
      <c r="D8" s="79">
        <f>D6/$F$7</f>
        <v>3.166745321017653</v>
      </c>
      <c r="E8" s="80">
        <f>E6/$F$7</f>
        <v>9.6686050560363307E-2</v>
      </c>
      <c r="F8" s="81">
        <f>SUM(B8:E8)</f>
        <v>6.2913696511499593</v>
      </c>
      <c r="G8" s="75"/>
    </row>
    <row r="9" spans="1:10" s="1" customFormat="1" x14ac:dyDescent="0.25">
      <c r="A9" s="76" t="s">
        <v>136</v>
      </c>
      <c r="B9" s="184" t="s">
        <v>329</v>
      </c>
      <c r="C9" s="185" t="s">
        <v>329</v>
      </c>
      <c r="D9" s="185" t="s">
        <v>329</v>
      </c>
      <c r="E9" s="186" t="s">
        <v>329</v>
      </c>
      <c r="F9" s="194">
        <v>0.60699999999999998</v>
      </c>
      <c r="G9"/>
      <c r="H9"/>
      <c r="I9"/>
      <c r="J9"/>
    </row>
    <row r="10" spans="1:10" ht="18" x14ac:dyDescent="0.35">
      <c r="A10" s="76" t="s">
        <v>285</v>
      </c>
      <c r="B10" s="79">
        <f>B8*(1-$F$9)</f>
        <v>0.67150945275099339</v>
      </c>
      <c r="C10" s="79">
        <f>C8*(1-$F$9)</f>
        <v>0.51847029112078025</v>
      </c>
      <c r="D10" s="79">
        <f>D8*(1-$F$9)</f>
        <v>1.2445309111599376</v>
      </c>
      <c r="E10" s="80">
        <f>E8*(1-$F$9)</f>
        <v>3.799761787022278E-2</v>
      </c>
      <c r="F10" s="81">
        <f>SUM(B10:E10)</f>
        <v>2.4725082729019339</v>
      </c>
    </row>
    <row r="12" spans="1:10" x14ac:dyDescent="0.25">
      <c r="A12" s="67" t="s">
        <v>192</v>
      </c>
    </row>
    <row r="14" spans="1:10" x14ac:dyDescent="0.25">
      <c r="A14" s="76"/>
      <c r="B14" s="77" t="s">
        <v>212</v>
      </c>
      <c r="C14" s="77" t="s">
        <v>213</v>
      </c>
      <c r="D14" s="77" t="s">
        <v>132</v>
      </c>
      <c r="E14" s="77" t="s">
        <v>126</v>
      </c>
    </row>
    <row r="15" spans="1:10" ht="18" x14ac:dyDescent="0.35">
      <c r="A15" s="76" t="s">
        <v>286</v>
      </c>
      <c r="B15" s="78">
        <f>B35</f>
        <v>367006.70437178586</v>
      </c>
      <c r="C15" s="78">
        <f>SUM(B32:B34)</f>
        <v>133707.4481302955</v>
      </c>
      <c r="D15" s="78">
        <f>B41</f>
        <v>12867.996124280229</v>
      </c>
      <c r="E15" s="78">
        <f>SUM(B15:D15)</f>
        <v>513582.14862636157</v>
      </c>
    </row>
    <row r="16" spans="1:10" x14ac:dyDescent="0.25">
      <c r="A16" s="76" t="s">
        <v>193</v>
      </c>
      <c r="B16" s="181" t="s">
        <v>329</v>
      </c>
      <c r="C16" s="182" t="s">
        <v>329</v>
      </c>
      <c r="D16" s="183" t="s">
        <v>329</v>
      </c>
      <c r="E16" s="193">
        <f>B23</f>
        <v>39712965</v>
      </c>
    </row>
    <row r="17" spans="1:5" x14ac:dyDescent="0.25">
      <c r="A17" s="76" t="s">
        <v>137</v>
      </c>
      <c r="B17" s="82">
        <f>B15/$E$16</f>
        <v>9.2414833385466404E-3</v>
      </c>
      <c r="C17" s="82">
        <f>C15/$E$16</f>
        <v>3.3668462712440508E-3</v>
      </c>
      <c r="D17" s="84">
        <f>D15/$E$16</f>
        <v>3.2402506648093965E-4</v>
      </c>
      <c r="E17" s="83">
        <f>SUM(B17:D17)</f>
        <v>1.2932354676271631E-2</v>
      </c>
    </row>
    <row r="18" spans="1:5" x14ac:dyDescent="0.25">
      <c r="A18" s="76" t="s">
        <v>136</v>
      </c>
      <c r="B18" s="187" t="s">
        <v>329</v>
      </c>
      <c r="C18" s="188" t="s">
        <v>329</v>
      </c>
      <c r="D18" s="189" t="s">
        <v>329</v>
      </c>
      <c r="E18" s="195">
        <f>F9</f>
        <v>0.60699999999999998</v>
      </c>
    </row>
    <row r="19" spans="1:5" ht="18" x14ac:dyDescent="0.35">
      <c r="A19" s="76" t="s">
        <v>287</v>
      </c>
      <c r="B19" s="83">
        <f>B17*(1-$E$18)</f>
        <v>3.6319029520488297E-3</v>
      </c>
      <c r="C19" s="83">
        <f>C17*(1-$E$18)</f>
        <v>1.3231705845989121E-3</v>
      </c>
      <c r="D19" s="84">
        <f>D17*(1-$E$18)</f>
        <v>1.2734185112700928E-4</v>
      </c>
      <c r="E19" s="83">
        <f>SUM(B19:D19)</f>
        <v>5.0824153877747514E-3</v>
      </c>
    </row>
    <row r="21" spans="1:5" x14ac:dyDescent="0.25">
      <c r="A21" s="67" t="s">
        <v>159</v>
      </c>
    </row>
    <row r="22" spans="1:5" x14ac:dyDescent="0.25">
      <c r="A22" s="76" t="s">
        <v>156</v>
      </c>
      <c r="B22" s="87">
        <v>151411</v>
      </c>
      <c r="C22" t="s">
        <v>157</v>
      </c>
    </row>
    <row r="23" spans="1:5" x14ac:dyDescent="0.25">
      <c r="A23" s="76" t="s">
        <v>158</v>
      </c>
      <c r="B23" s="88">
        <v>39712965</v>
      </c>
      <c r="C23" t="s">
        <v>155</v>
      </c>
    </row>
    <row r="24" spans="1:5" x14ac:dyDescent="0.25">
      <c r="A24" s="76" t="s">
        <v>256</v>
      </c>
      <c r="B24" s="87">
        <v>155608</v>
      </c>
      <c r="C24" t="s">
        <v>259</v>
      </c>
    </row>
    <row r="25" spans="1:5" x14ac:dyDescent="0.25">
      <c r="A25" s="76" t="s">
        <v>257</v>
      </c>
      <c r="B25" s="88">
        <v>40436068</v>
      </c>
      <c r="C25" t="s">
        <v>258</v>
      </c>
    </row>
    <row r="27" spans="1:5" x14ac:dyDescent="0.25">
      <c r="A27" s="67" t="s">
        <v>160</v>
      </c>
    </row>
    <row r="28" spans="1:5" ht="33" x14ac:dyDescent="0.35">
      <c r="A28" s="76" t="s">
        <v>165</v>
      </c>
      <c r="B28" s="85" t="s">
        <v>300</v>
      </c>
    </row>
    <row r="29" spans="1:5" x14ac:dyDescent="0.25">
      <c r="A29" s="76" t="s">
        <v>142</v>
      </c>
      <c r="B29" s="86">
        <v>199727.15213355</v>
      </c>
    </row>
    <row r="30" spans="1:5" x14ac:dyDescent="0.25">
      <c r="A30" s="76" t="s">
        <v>143</v>
      </c>
      <c r="B30" s="86">
        <v>23.751807641999999</v>
      </c>
    </row>
    <row r="31" spans="1:5" x14ac:dyDescent="0.25">
      <c r="A31" s="76" t="s">
        <v>144</v>
      </c>
      <c r="B31" s="86">
        <v>258712.25890707545</v>
      </c>
    </row>
    <row r="32" spans="1:5" x14ac:dyDescent="0.25">
      <c r="A32" s="76" t="s">
        <v>145</v>
      </c>
      <c r="B32" s="86">
        <v>133161.94440810001</v>
      </c>
    </row>
    <row r="33" spans="1:4" x14ac:dyDescent="0.25">
      <c r="A33" s="76" t="s">
        <v>146</v>
      </c>
      <c r="B33" s="86">
        <v>327.94844168000009</v>
      </c>
    </row>
    <row r="34" spans="1:4" x14ac:dyDescent="0.25">
      <c r="A34" s="76" t="s">
        <v>147</v>
      </c>
      <c r="B34" s="86">
        <v>217.55528051549999</v>
      </c>
    </row>
    <row r="35" spans="1:4" x14ac:dyDescent="0.25">
      <c r="A35" s="76" t="s">
        <v>148</v>
      </c>
      <c r="B35" s="86">
        <v>367006.70437178586</v>
      </c>
    </row>
    <row r="36" spans="1:4" x14ac:dyDescent="0.25">
      <c r="A36" s="76" t="s">
        <v>149</v>
      </c>
      <c r="B36" s="86">
        <v>472885.30883618939</v>
      </c>
    </row>
    <row r="37" spans="1:4" x14ac:dyDescent="0.25">
      <c r="A37" s="76" t="s">
        <v>150</v>
      </c>
      <c r="B37" s="86">
        <v>557.07888222878591</v>
      </c>
    </row>
    <row r="38" spans="1:4" x14ac:dyDescent="0.25">
      <c r="A38" s="76" t="s">
        <v>151</v>
      </c>
      <c r="B38" s="86">
        <v>3787.1378855896778</v>
      </c>
    </row>
    <row r="39" spans="1:4" x14ac:dyDescent="0.25">
      <c r="A39" s="76" t="s">
        <v>152</v>
      </c>
      <c r="B39" s="86">
        <v>2250.5501965960188</v>
      </c>
    </row>
    <row r="40" spans="1:4" x14ac:dyDescent="0.25">
      <c r="A40" s="76" t="s">
        <v>153</v>
      </c>
      <c r="B40" s="86">
        <f>C40*'Performance Std - Source Data'!B46</f>
        <v>14639.331601395168</v>
      </c>
      <c r="C40" s="69">
        <v>83144.349600000001</v>
      </c>
      <c r="D40" t="s">
        <v>138</v>
      </c>
    </row>
    <row r="41" spans="1:4" x14ac:dyDescent="0.25">
      <c r="A41" s="76" t="s">
        <v>154</v>
      </c>
      <c r="B41" s="86">
        <f>C41*'Performance Std - Source Data'!B46</f>
        <v>12867.996124280229</v>
      </c>
      <c r="C41" s="69">
        <v>73084.017599999992</v>
      </c>
      <c r="D41" t="s">
        <v>138</v>
      </c>
    </row>
    <row r="43" spans="1:4" x14ac:dyDescent="0.25">
      <c r="A43" s="127" t="s">
        <v>262</v>
      </c>
    </row>
    <row r="44" spans="1:4" ht="18" x14ac:dyDescent="0.35">
      <c r="A44" s="127"/>
      <c r="B44">
        <f>27505.4293016754+1.898424</f>
        <v>27507.327725675401</v>
      </c>
      <c r="C44" t="s">
        <v>275</v>
      </c>
      <c r="D44" t="s">
        <v>139</v>
      </c>
    </row>
    <row r="45" spans="1:4" x14ac:dyDescent="0.25">
      <c r="B45">
        <f>116965.63476+39237.35244+25.38</f>
        <v>156228.36720000001</v>
      </c>
      <c r="C45" t="s">
        <v>138</v>
      </c>
      <c r="D45" t="s">
        <v>141</v>
      </c>
    </row>
    <row r="46" spans="1:4" ht="18" x14ac:dyDescent="0.35">
      <c r="A46" s="114" t="s">
        <v>140</v>
      </c>
      <c r="B46" s="114">
        <f>'Performance Std - Source Data'!B44/'Performance Std - Source Data'!B45</f>
        <v>0.17607127449819113</v>
      </c>
      <c r="C46" s="70" t="s">
        <v>263</v>
      </c>
    </row>
    <row r="47" spans="1:4" x14ac:dyDescent="0.25">
      <c r="A47" s="114"/>
      <c r="B47" s="114"/>
      <c r="C47" s="114"/>
    </row>
    <row r="48" spans="1:4" x14ac:dyDescent="0.25">
      <c r="A48" s="67" t="s">
        <v>295</v>
      </c>
      <c r="C48" t="s">
        <v>296</v>
      </c>
    </row>
    <row r="49" spans="1:6" ht="45" x14ac:dyDescent="0.25">
      <c r="A49" s="76" t="s">
        <v>161</v>
      </c>
      <c r="B49" s="140" t="s">
        <v>170</v>
      </c>
      <c r="C49" s="140" t="s">
        <v>171</v>
      </c>
      <c r="D49" s="140" t="s">
        <v>162</v>
      </c>
      <c r="E49" s="140" t="s">
        <v>163</v>
      </c>
      <c r="F49" s="140" t="s">
        <v>164</v>
      </c>
    </row>
    <row r="50" spans="1:6" x14ac:dyDescent="0.25">
      <c r="A50" s="76" t="s">
        <v>120</v>
      </c>
      <c r="B50" s="140">
        <v>0</v>
      </c>
      <c r="C50" s="140">
        <v>1</v>
      </c>
      <c r="D50" s="143">
        <v>40426</v>
      </c>
      <c r="E50" s="143">
        <v>104036.17310183986</v>
      </c>
      <c r="F50" s="141">
        <f>E50/D50</f>
        <v>2.573496588874483</v>
      </c>
    </row>
    <row r="51" spans="1:6" x14ac:dyDescent="0.25">
      <c r="A51" s="76" t="s">
        <v>121</v>
      </c>
      <c r="B51" s="140">
        <v>2</v>
      </c>
      <c r="C51" s="140">
        <v>4</v>
      </c>
      <c r="D51" s="143">
        <v>4384</v>
      </c>
      <c r="E51" s="143">
        <v>8671.0735941953881</v>
      </c>
      <c r="F51" s="141">
        <f t="shared" ref="F51:F55" si="0">E51/D51</f>
        <v>1.9778908745883641</v>
      </c>
    </row>
    <row r="52" spans="1:6" x14ac:dyDescent="0.25">
      <c r="A52" s="76" t="s">
        <v>122</v>
      </c>
      <c r="B52" s="140">
        <v>5</v>
      </c>
      <c r="C52" s="140">
        <v>19</v>
      </c>
      <c r="D52" s="143">
        <v>12241</v>
      </c>
      <c r="E52" s="143">
        <v>24340.650686706402</v>
      </c>
      <c r="F52" s="141">
        <f t="shared" si="0"/>
        <v>1.9884527968880321</v>
      </c>
    </row>
    <row r="53" spans="1:6" x14ac:dyDescent="0.25">
      <c r="A53" s="76" t="s">
        <v>123</v>
      </c>
      <c r="B53" s="140">
        <v>20</v>
      </c>
      <c r="C53" s="140">
        <v>49</v>
      </c>
      <c r="D53" s="143">
        <v>5455</v>
      </c>
      <c r="E53" s="143">
        <v>10390.639284788806</v>
      </c>
      <c r="F53" s="141">
        <f t="shared" si="0"/>
        <v>1.9047918028943731</v>
      </c>
    </row>
    <row r="54" spans="1:6" x14ac:dyDescent="0.25">
      <c r="A54" s="76" t="s">
        <v>124</v>
      </c>
      <c r="B54" s="140">
        <v>50</v>
      </c>
      <c r="C54" s="143">
        <v>5000</v>
      </c>
      <c r="D54" s="143">
        <v>4930</v>
      </c>
      <c r="E54" s="143">
        <v>6958.7862140450898</v>
      </c>
      <c r="F54" s="141">
        <f t="shared" si="0"/>
        <v>1.4115185018347038</v>
      </c>
    </row>
    <row r="55" spans="1:6" x14ac:dyDescent="0.25">
      <c r="A55" s="76" t="s">
        <v>125</v>
      </c>
      <c r="B55" s="76"/>
      <c r="C55" s="76"/>
      <c r="D55" s="143">
        <v>675</v>
      </c>
      <c r="E55" s="143">
        <v>1716.6771184244622</v>
      </c>
      <c r="F55" s="141">
        <f t="shared" si="0"/>
        <v>2.5432253606288326</v>
      </c>
    </row>
  </sheetData>
  <sheetProtection algorithmName="SHA-512" hashValue="UFmG8goJhndHPZXknKZwdltJpWSQC7pO1HdRKsU1DrLSyfhqu9ZZLrPjTj/Kh/3dB4DuJpTm4tVz2ezjRkNpkw==" saltValue="ZnfoddCszb6ZF/XNKHoa0w=="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4"/>
  <sheetViews>
    <sheetView showGridLines="0" zoomScaleNormal="100" workbookViewId="0">
      <pane ySplit="2" topLeftCell="A3" activePane="bottomLeft" state="frozen"/>
      <selection activeCell="E26" sqref="E26"/>
      <selection pane="bottomLeft" activeCell="B6" sqref="B6"/>
    </sheetView>
  </sheetViews>
  <sheetFormatPr defaultRowHeight="15" x14ac:dyDescent="0.25"/>
  <cols>
    <col min="1" max="1" width="56.7109375" customWidth="1"/>
    <col min="2" max="2" width="17" customWidth="1"/>
    <col min="3" max="3" width="20.28515625" customWidth="1"/>
  </cols>
  <sheetData>
    <row r="1" spans="1:7" x14ac:dyDescent="0.25">
      <c r="A1" t="s">
        <v>234</v>
      </c>
    </row>
    <row r="2" spans="1:7" ht="48" customHeight="1" x14ac:dyDescent="0.25">
      <c r="A2" s="6"/>
      <c r="B2" s="94" t="s">
        <v>31</v>
      </c>
      <c r="C2" s="94" t="s">
        <v>32</v>
      </c>
      <c r="D2" s="93"/>
      <c r="E2" s="93"/>
      <c r="F2" s="93"/>
      <c r="G2" s="93"/>
    </row>
    <row r="3" spans="1:7" ht="24" customHeight="1" x14ac:dyDescent="0.25">
      <c r="A3" s="172" t="s">
        <v>30</v>
      </c>
      <c r="B3" s="95" t="s">
        <v>13</v>
      </c>
      <c r="C3" s="96" t="s">
        <v>13</v>
      </c>
    </row>
    <row r="4" spans="1:7" ht="15" customHeight="1" x14ac:dyDescent="0.25">
      <c r="A4" s="125" t="s">
        <v>29</v>
      </c>
      <c r="B4" s="97">
        <v>7.9</v>
      </c>
      <c r="C4" s="98">
        <v>37.5</v>
      </c>
    </row>
    <row r="5" spans="1:7" ht="15" customHeight="1" x14ac:dyDescent="0.25">
      <c r="A5" s="125" t="s">
        <v>240</v>
      </c>
      <c r="B5" s="97">
        <v>42.723880597014926</v>
      </c>
      <c r="C5" s="98">
        <v>64.761556064073233</v>
      </c>
    </row>
    <row r="6" spans="1:7" ht="15" customHeight="1" x14ac:dyDescent="0.25">
      <c r="A6" s="125" t="s">
        <v>241</v>
      </c>
      <c r="B6" s="97">
        <v>30.4</v>
      </c>
      <c r="C6" s="98">
        <v>138.354233409611</v>
      </c>
    </row>
    <row r="7" spans="1:7" ht="15" customHeight="1" x14ac:dyDescent="0.25">
      <c r="A7" s="125" t="s">
        <v>242</v>
      </c>
      <c r="B7" s="97">
        <v>22.5</v>
      </c>
      <c r="C7" s="98">
        <v>73</v>
      </c>
    </row>
    <row r="8" spans="1:7" ht="15" customHeight="1" x14ac:dyDescent="0.25">
      <c r="A8" s="17" t="s">
        <v>243</v>
      </c>
      <c r="B8" s="97">
        <v>26.939461883408072</v>
      </c>
      <c r="C8" s="98">
        <v>102.65329883570506</v>
      </c>
    </row>
    <row r="9" spans="1:7" x14ac:dyDescent="0.25">
      <c r="A9" s="17" t="s">
        <v>244</v>
      </c>
      <c r="B9" s="97">
        <v>18.161434977578477</v>
      </c>
      <c r="C9" s="98">
        <v>43.157826649417856</v>
      </c>
    </row>
    <row r="10" spans="1:7" x14ac:dyDescent="0.25">
      <c r="A10" s="125" t="s">
        <v>245</v>
      </c>
      <c r="B10" s="97">
        <v>11.4</v>
      </c>
      <c r="C10" s="98">
        <v>53.9</v>
      </c>
    </row>
    <row r="11" spans="1:7" x14ac:dyDescent="0.25">
      <c r="A11" s="125" t="s">
        <v>246</v>
      </c>
      <c r="B11" s="97">
        <v>12.3</v>
      </c>
      <c r="C11" s="98">
        <v>38.299999999999997</v>
      </c>
    </row>
    <row r="12" spans="1:7" x14ac:dyDescent="0.25">
      <c r="A12" s="17" t="s">
        <v>247</v>
      </c>
      <c r="B12" s="97">
        <v>10.1</v>
      </c>
      <c r="C12" s="98">
        <v>28.8</v>
      </c>
    </row>
    <row r="13" spans="1:7" x14ac:dyDescent="0.25">
      <c r="A13" s="17" t="s">
        <v>248</v>
      </c>
      <c r="B13" s="97">
        <v>14.889473684210525</v>
      </c>
      <c r="C13" s="98">
        <v>44.731328320802007</v>
      </c>
    </row>
    <row r="14" spans="1:7" x14ac:dyDescent="0.25">
      <c r="A14" s="125" t="s">
        <v>249</v>
      </c>
      <c r="B14" s="97">
        <v>11.2</v>
      </c>
      <c r="C14" s="98">
        <v>27.2</v>
      </c>
    </row>
    <row r="15" spans="1:7" x14ac:dyDescent="0.25">
      <c r="A15" s="125" t="s">
        <v>250</v>
      </c>
      <c r="B15" s="97">
        <v>2.6295999999999999</v>
      </c>
      <c r="C15" s="98">
        <v>0</v>
      </c>
    </row>
    <row r="16" spans="1:7" x14ac:dyDescent="0.25">
      <c r="A16" s="125" t="s">
        <v>15</v>
      </c>
      <c r="B16" s="97">
        <v>11.8</v>
      </c>
      <c r="C16" s="98">
        <v>46.9</v>
      </c>
    </row>
    <row r="17" spans="1:3" x14ac:dyDescent="0.25">
      <c r="A17" s="125" t="s">
        <v>16</v>
      </c>
      <c r="B17" s="97">
        <v>9.0485074626865671</v>
      </c>
      <c r="C17" s="98">
        <v>41.947826086956525</v>
      </c>
    </row>
    <row r="18" spans="1:3" x14ac:dyDescent="0.25">
      <c r="A18" s="125" t="s">
        <v>17</v>
      </c>
      <c r="B18" s="97">
        <v>4.2910447761194028</v>
      </c>
      <c r="C18" s="98">
        <v>30.908924485125862</v>
      </c>
    </row>
    <row r="19" spans="1:3" x14ac:dyDescent="0.25">
      <c r="A19" s="125" t="s">
        <v>18</v>
      </c>
      <c r="B19" s="97">
        <v>6</v>
      </c>
      <c r="C19" s="98">
        <v>55.8</v>
      </c>
    </row>
    <row r="20" spans="1:3" x14ac:dyDescent="0.25">
      <c r="A20" s="125" t="s">
        <v>19</v>
      </c>
      <c r="B20" s="97">
        <v>4.9000000000000004</v>
      </c>
      <c r="C20" s="98">
        <v>29.4</v>
      </c>
    </row>
    <row r="21" spans="1:3" x14ac:dyDescent="0.25">
      <c r="A21" s="125" t="s">
        <v>20</v>
      </c>
      <c r="B21" s="97">
        <v>23.227611940298505</v>
      </c>
      <c r="C21" s="98">
        <v>58.414187643020597</v>
      </c>
    </row>
    <row r="22" spans="1:3" x14ac:dyDescent="0.25">
      <c r="A22" s="126"/>
    </row>
    <row r="23" spans="1:3" x14ac:dyDescent="0.25">
      <c r="A23" s="9" t="s">
        <v>255</v>
      </c>
    </row>
    <row r="24" spans="1:3" x14ac:dyDescent="0.25">
      <c r="A24" s="9" t="s">
        <v>254</v>
      </c>
    </row>
  </sheetData>
  <sheetProtection algorithmName="SHA-512" hashValue="nnqUG+Urt0Hjlu+0HmuRaoayJYla0hBK1q//YFdReQEI3hD5Gelp8reOjchBGAy/10i265wINiyFCYBDp74yRg==" saltValue="950+zl8JjGsg2ojSwmtwiw==" spinCount="100000" sheet="1" objects="1" scenarios="1"/>
  <hyperlinks>
    <hyperlink ref="A23" r:id="rId1" xr:uid="{DE8377C9-C7C7-49EA-836F-C777FFFD41B6}"/>
    <hyperlink ref="A24" r:id="rId2" xr:uid="{87BFBC8F-0AFC-45C3-A9C0-FCCDFBB17653}"/>
    <hyperlink ref="A3" r:id="rId3" xr:uid="{BB65913D-6B6D-485D-91C3-A26C3FC2D963}"/>
  </hyperlinks>
  <pageMargins left="0.7" right="0.7" top="0.6" bottom="0.6" header="0.3" footer="0.3"/>
  <pageSetup scale="70" fitToHeight="0"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
  <sheetViews>
    <sheetView workbookViewId="0">
      <selection activeCell="C3" sqref="C3"/>
    </sheetView>
  </sheetViews>
  <sheetFormatPr defaultRowHeight="15" x14ac:dyDescent="0.25"/>
  <cols>
    <col min="1" max="1" width="16.140625" customWidth="1"/>
    <col min="2" max="2" width="13.42578125" style="68" customWidth="1"/>
    <col min="3" max="3" width="16.7109375" style="68" customWidth="1"/>
    <col min="4" max="4" width="11.140625" customWidth="1"/>
    <col min="5" max="5" width="20.7109375" style="68" customWidth="1"/>
    <col min="6" max="6" width="14.5703125" style="69" bestFit="1" customWidth="1"/>
    <col min="7" max="7" width="18.5703125" style="68" customWidth="1"/>
  </cols>
  <sheetData>
    <row r="1" spans="1:7" x14ac:dyDescent="0.25">
      <c r="A1" t="s">
        <v>235</v>
      </c>
    </row>
    <row r="2" spans="1:7" s="65" customFormat="1" ht="33" x14ac:dyDescent="0.35">
      <c r="A2" s="85"/>
      <c r="B2" s="85" t="s">
        <v>128</v>
      </c>
      <c r="C2" s="85" t="s">
        <v>288</v>
      </c>
      <c r="D2" s="85" t="s">
        <v>119</v>
      </c>
      <c r="E2" s="85" t="s">
        <v>289</v>
      </c>
      <c r="F2" s="107" t="s">
        <v>129</v>
      </c>
      <c r="G2" s="85" t="s">
        <v>290</v>
      </c>
    </row>
    <row r="3" spans="1:7" x14ac:dyDescent="0.25">
      <c r="A3" s="108" t="s">
        <v>130</v>
      </c>
      <c r="B3" s="167">
        <f>75867+7797</f>
        <v>83664</v>
      </c>
      <c r="C3" s="168">
        <v>17733.8295664992</v>
      </c>
      <c r="D3" s="167">
        <f>'Performance Std - Source Data'!B24</f>
        <v>155608</v>
      </c>
      <c r="E3" s="173">
        <f>C3/D3</f>
        <v>0.11396476766296848</v>
      </c>
      <c r="F3" s="109" t="s">
        <v>127</v>
      </c>
      <c r="G3" s="77" t="s">
        <v>127</v>
      </c>
    </row>
    <row r="4" spans="1:7" x14ac:dyDescent="0.25">
      <c r="A4" s="108" t="s">
        <v>191</v>
      </c>
      <c r="B4" s="167">
        <f>92974+50730</f>
        <v>143704</v>
      </c>
      <c r="C4" s="168">
        <v>20846.947403157101</v>
      </c>
      <c r="D4" s="77" t="s">
        <v>127</v>
      </c>
      <c r="E4" s="77" t="s">
        <v>127</v>
      </c>
      <c r="F4" s="167">
        <f>'Performance Std - Source Data'!B25</f>
        <v>40436068</v>
      </c>
      <c r="G4" s="174">
        <f>C4/F4</f>
        <v>5.1555327790914543E-4</v>
      </c>
    </row>
    <row r="5" spans="1:7" x14ac:dyDescent="0.25">
      <c r="A5" s="70"/>
      <c r="B5" s="128"/>
      <c r="C5" s="129"/>
      <c r="D5" s="68"/>
      <c r="F5" s="128"/>
      <c r="G5"/>
    </row>
    <row r="6" spans="1:7" x14ac:dyDescent="0.25">
      <c r="A6" s="70" t="s">
        <v>264</v>
      </c>
      <c r="F6" s="71"/>
    </row>
    <row r="7" spans="1:7" x14ac:dyDescent="0.25">
      <c r="A7" s="124" t="s">
        <v>260</v>
      </c>
      <c r="F7" s="71"/>
    </row>
    <row r="8" spans="1:7" x14ac:dyDescent="0.25">
      <c r="A8" s="70"/>
      <c r="F8" s="71"/>
    </row>
    <row r="9" spans="1:7" x14ac:dyDescent="0.25">
      <c r="F9" s="71"/>
    </row>
    <row r="10" spans="1:7" x14ac:dyDescent="0.25">
      <c r="F10" s="71"/>
    </row>
  </sheetData>
  <sheetProtection algorithmName="SHA-512" hashValue="PwZQRSweGEOigcqOucZE/KFzdHjINepnoMAbDbZX1XgjHQw/rIuS4OPU2ysj+ah9A3g0Gf2YacSeEi2phhc6lw==" saltValue="+hq9isd9+sYXCag/UDBRHA==" spinCount="100000" sheet="1" objects="1" scenarios="1"/>
  <hyperlinks>
    <hyperlink ref="A7" r:id="rId1" xr:uid="{EC6FD3B2-53A5-475C-8CD3-776CC9CDADD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
  <sheetViews>
    <sheetView zoomScale="110" zoomScaleNormal="110" workbookViewId="0">
      <selection activeCell="C6" sqref="C6"/>
    </sheetView>
  </sheetViews>
  <sheetFormatPr defaultRowHeight="15" x14ac:dyDescent="0.25"/>
  <cols>
    <col min="1" max="1" width="43.28515625" bestFit="1" customWidth="1"/>
    <col min="2" max="8" width="18.42578125" customWidth="1"/>
  </cols>
  <sheetData>
    <row r="1" spans="1:6" x14ac:dyDescent="0.25">
      <c r="A1" t="s">
        <v>236</v>
      </c>
    </row>
    <row r="3" spans="1:6" x14ac:dyDescent="0.25">
      <c r="A3" s="76"/>
      <c r="B3" s="77">
        <v>2020</v>
      </c>
      <c r="C3" s="77">
        <v>2021</v>
      </c>
      <c r="D3" s="77">
        <v>2022</v>
      </c>
      <c r="E3" s="77" t="s">
        <v>166</v>
      </c>
      <c r="F3" t="s">
        <v>197</v>
      </c>
    </row>
    <row r="4" spans="1:6" ht="18" x14ac:dyDescent="0.35">
      <c r="A4" s="76" t="s">
        <v>265</v>
      </c>
      <c r="B4" s="169">
        <v>277692.58919999999</v>
      </c>
      <c r="C4" s="169">
        <f>332388</f>
        <v>332388</v>
      </c>
      <c r="D4" s="169">
        <v>344109</v>
      </c>
      <c r="E4" s="170">
        <f>AVERAGE(B4:D4)</f>
        <v>318063.19640000002</v>
      </c>
      <c r="F4" t="s">
        <v>292</v>
      </c>
    </row>
    <row r="5" spans="1:6" x14ac:dyDescent="0.25">
      <c r="A5" s="76" t="s">
        <v>119</v>
      </c>
      <c r="B5" s="171">
        <v>155984</v>
      </c>
      <c r="C5" s="171">
        <v>156612</v>
      </c>
      <c r="D5" s="171">
        <v>156114</v>
      </c>
      <c r="E5" s="170">
        <f>AVERAGE(B5:D5)</f>
        <v>156236.66666666666</v>
      </c>
      <c r="F5" t="s">
        <v>294</v>
      </c>
    </row>
    <row r="6" spans="1:6" ht="34.5" x14ac:dyDescent="0.35">
      <c r="A6" s="65" t="s">
        <v>266</v>
      </c>
      <c r="B6" s="175">
        <f>E4/E5</f>
        <v>2.035778176697745</v>
      </c>
      <c r="C6" s="176" t="s">
        <v>328</v>
      </c>
    </row>
    <row r="8" spans="1:6" x14ac:dyDescent="0.25">
      <c r="A8" t="s">
        <v>188</v>
      </c>
    </row>
    <row r="9" spans="1:6" x14ac:dyDescent="0.25">
      <c r="A9">
        <v>1</v>
      </c>
      <c r="B9" t="s">
        <v>189</v>
      </c>
    </row>
    <row r="10" spans="1:6" x14ac:dyDescent="0.25">
      <c r="A10">
        <v>0.8</v>
      </c>
      <c r="B10" t="s">
        <v>190</v>
      </c>
    </row>
  </sheetData>
  <sheetProtection algorithmName="SHA-512" hashValue="RP1kZTCaKhf1EcIc5KJVbD1954ix/abxXgzr3NJWr/grXFeRXycTYcdRmgLXmInKexLLrSPprk7t1wJTbbWtJA==" saltValue="U21TFMI6Zseu1tMohdbL/A=="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0"/>
  <sheetViews>
    <sheetView workbookViewId="0">
      <selection activeCell="B3" sqref="B3"/>
    </sheetView>
  </sheetViews>
  <sheetFormatPr defaultRowHeight="15" x14ac:dyDescent="0.25"/>
  <cols>
    <col min="1" max="1" width="45.7109375" customWidth="1"/>
    <col min="3" max="3" width="21.140625" customWidth="1"/>
    <col min="4" max="4" width="25.28515625" customWidth="1"/>
  </cols>
  <sheetData>
    <row r="1" spans="1:8" x14ac:dyDescent="0.25">
      <c r="A1" t="s">
        <v>237</v>
      </c>
    </row>
    <row r="2" spans="1:8" x14ac:dyDescent="0.25">
      <c r="A2" s="67"/>
    </row>
    <row r="3" spans="1:8" ht="18" x14ac:dyDescent="0.35">
      <c r="A3" t="s">
        <v>291</v>
      </c>
      <c r="B3" s="63">
        <v>76</v>
      </c>
      <c r="D3" t="s">
        <v>194</v>
      </c>
    </row>
    <row r="5" spans="1:8" x14ac:dyDescent="0.25">
      <c r="A5" s="207" t="s">
        <v>33</v>
      </c>
      <c r="B5">
        <f>AVERAGE(1078,1089,1077,1064,1054,1049)</f>
        <v>1068.5</v>
      </c>
      <c r="C5" t="s">
        <v>111</v>
      </c>
      <c r="D5" t="s">
        <v>325</v>
      </c>
      <c r="E5" s="9" t="s">
        <v>34</v>
      </c>
    </row>
    <row r="6" spans="1:8" x14ac:dyDescent="0.25">
      <c r="A6" s="207"/>
      <c r="B6">
        <f>B5/100000</f>
        <v>1.0685E-2</v>
      </c>
      <c r="C6" t="s">
        <v>112</v>
      </c>
      <c r="D6" t="s">
        <v>35</v>
      </c>
    </row>
    <row r="7" spans="1:8" ht="18" x14ac:dyDescent="0.35">
      <c r="A7" s="207" t="s">
        <v>36</v>
      </c>
      <c r="B7" s="111">
        <v>0.42599999999999999</v>
      </c>
      <c r="C7" t="s">
        <v>272</v>
      </c>
      <c r="D7" s="9" t="s">
        <v>326</v>
      </c>
    </row>
    <row r="8" spans="1:8" ht="18" x14ac:dyDescent="0.35">
      <c r="A8" s="207"/>
      <c r="B8">
        <f>B7/1000</f>
        <v>4.26E-4</v>
      </c>
      <c r="C8" t="s">
        <v>273</v>
      </c>
      <c r="D8" t="s">
        <v>46</v>
      </c>
    </row>
    <row r="9" spans="1:8" ht="18" x14ac:dyDescent="0.35">
      <c r="A9" s="114" t="s">
        <v>37</v>
      </c>
      <c r="B9">
        <v>5.1999999999999998E-3</v>
      </c>
      <c r="C9" t="s">
        <v>274</v>
      </c>
    </row>
    <row r="11" spans="1:8" x14ac:dyDescent="0.25">
      <c r="A11" t="s">
        <v>238</v>
      </c>
    </row>
    <row r="13" spans="1:8" x14ac:dyDescent="0.25">
      <c r="A13" t="s">
        <v>198</v>
      </c>
      <c r="B13">
        <v>2023</v>
      </c>
      <c r="D13" s="9" t="s">
        <v>326</v>
      </c>
    </row>
    <row r="14" spans="1:8" x14ac:dyDescent="0.25">
      <c r="A14" t="s">
        <v>199</v>
      </c>
      <c r="B14">
        <f>B13+9</f>
        <v>2032</v>
      </c>
      <c r="D14" s="9" t="s">
        <v>261</v>
      </c>
    </row>
    <row r="15" spans="1:8" ht="18" x14ac:dyDescent="0.35">
      <c r="A15" s="108">
        <f>B13</f>
        <v>2023</v>
      </c>
      <c r="B15" s="110">
        <v>0.42599999999999999</v>
      </c>
      <c r="C15" s="76" t="s">
        <v>272</v>
      </c>
      <c r="D15" s="104"/>
      <c r="H15" s="105"/>
    </row>
    <row r="16" spans="1:8" ht="18" x14ac:dyDescent="0.35">
      <c r="A16" s="108">
        <f>A15+1</f>
        <v>2024</v>
      </c>
      <c r="B16" s="110">
        <v>0.38309998483703112</v>
      </c>
      <c r="C16" s="76" t="s">
        <v>272</v>
      </c>
      <c r="D16" s="104"/>
      <c r="H16" s="105"/>
    </row>
    <row r="17" spans="1:12" ht="18" x14ac:dyDescent="0.35">
      <c r="A17" s="108">
        <f t="shared" ref="A17:A24" si="0">A16+1</f>
        <v>2025</v>
      </c>
      <c r="B17" s="110">
        <v>0.3401999696740603</v>
      </c>
      <c r="C17" s="76" t="s">
        <v>272</v>
      </c>
      <c r="D17" s="104"/>
      <c r="H17" s="105"/>
    </row>
    <row r="18" spans="1:12" ht="18" x14ac:dyDescent="0.35">
      <c r="A18" s="108">
        <f t="shared" si="0"/>
        <v>2026</v>
      </c>
      <c r="B18" s="110">
        <v>0.29729995451110369</v>
      </c>
      <c r="C18" s="76" t="s">
        <v>272</v>
      </c>
      <c r="D18" s="104"/>
      <c r="H18" s="105"/>
    </row>
    <row r="19" spans="1:12" ht="18" x14ac:dyDescent="0.35">
      <c r="A19" s="108">
        <f t="shared" si="0"/>
        <v>2027</v>
      </c>
      <c r="B19" s="110">
        <v>0.25439993934813288</v>
      </c>
      <c r="C19" s="76" t="s">
        <v>272</v>
      </c>
      <c r="D19" s="104"/>
      <c r="H19" s="105"/>
    </row>
    <row r="20" spans="1:12" ht="18" x14ac:dyDescent="0.35">
      <c r="A20" s="108">
        <f t="shared" si="0"/>
        <v>2028</v>
      </c>
      <c r="B20" s="110">
        <v>0.21149992418517627</v>
      </c>
      <c r="C20" s="76" t="s">
        <v>272</v>
      </c>
      <c r="D20" s="104"/>
      <c r="H20" s="105"/>
    </row>
    <row r="21" spans="1:12" ht="18" x14ac:dyDescent="0.35">
      <c r="A21" s="108">
        <f t="shared" si="0"/>
        <v>2029</v>
      </c>
      <c r="B21" s="110">
        <v>0.16859990902221966</v>
      </c>
      <c r="C21" s="76" t="s">
        <v>272</v>
      </c>
      <c r="D21" s="104"/>
      <c r="H21" s="105"/>
      <c r="J21" s="111"/>
      <c r="K21" s="111"/>
      <c r="L21" s="111"/>
    </row>
    <row r="22" spans="1:12" ht="18" x14ac:dyDescent="0.35">
      <c r="A22" s="108">
        <f t="shared" si="0"/>
        <v>2030</v>
      </c>
      <c r="B22" s="110">
        <v>0.12569989385925923</v>
      </c>
      <c r="C22" s="76" t="s">
        <v>272</v>
      </c>
      <c r="D22" s="104"/>
      <c r="H22" s="105"/>
    </row>
    <row r="23" spans="1:12" ht="18" x14ac:dyDescent="0.35">
      <c r="A23" s="108">
        <f t="shared" si="0"/>
        <v>2031</v>
      </c>
      <c r="B23" s="110">
        <v>0.119414899166296</v>
      </c>
      <c r="C23" s="76" t="s">
        <v>272</v>
      </c>
      <c r="D23" s="104"/>
      <c r="H23" s="105"/>
    </row>
    <row r="24" spans="1:12" ht="18" x14ac:dyDescent="0.35">
      <c r="A24" s="108">
        <f t="shared" si="0"/>
        <v>2032</v>
      </c>
      <c r="B24" s="110">
        <v>0.11312990447333249</v>
      </c>
      <c r="C24" s="76" t="s">
        <v>272</v>
      </c>
      <c r="D24" s="104"/>
      <c r="H24" s="105"/>
    </row>
    <row r="25" spans="1:12" x14ac:dyDescent="0.25">
      <c r="A25" s="70" t="s">
        <v>302</v>
      </c>
      <c r="B25" s="111">
        <f>SUM(B15:B24)/(B15*10)</f>
        <v>0.57261605142643468</v>
      </c>
      <c r="D25" s="104"/>
      <c r="H25" s="105"/>
    </row>
    <row r="26" spans="1:12" x14ac:dyDescent="0.25">
      <c r="A26" s="70" t="s">
        <v>303</v>
      </c>
      <c r="B26" s="111">
        <f>1-B25</f>
        <v>0.42738394857356532</v>
      </c>
      <c r="D26" s="104"/>
      <c r="H26" s="105"/>
    </row>
    <row r="28" spans="1:12" x14ac:dyDescent="0.25">
      <c r="A28" t="s">
        <v>267</v>
      </c>
    </row>
    <row r="29" spans="1:12" x14ac:dyDescent="0.25">
      <c r="A29" t="s">
        <v>195</v>
      </c>
    </row>
    <row r="30" spans="1:12" x14ac:dyDescent="0.25">
      <c r="A30" t="s">
        <v>196</v>
      </c>
    </row>
  </sheetData>
  <sheetProtection algorithmName="SHA-512" hashValue="vlc+xj7Moh0RkpLCW4uYtwyFgaoCNpp+D+jDSevlMRxGW+rI9SRGbwiyRKLnhT8RP2yPWTXa1mOVY2r01YDVUg==" saltValue="r7Wifyq18MSkYptoIxGknQ==" spinCount="100000" sheet="1" objects="1" scenarios="1"/>
  <mergeCells count="2">
    <mergeCell ref="A5:A6"/>
    <mergeCell ref="A7:A8"/>
  </mergeCells>
  <hyperlinks>
    <hyperlink ref="E5" r:id="rId1" xr:uid="{00000000-0004-0000-1000-000000000000}"/>
    <hyperlink ref="D7" r:id="rId2" display="2021 Xcel Community Report - Climate Registry Protocol estimate" xr:uid="{9E8027EE-DDA5-493D-9CC6-FB0FF0035DFB}"/>
    <hyperlink ref="D13" r:id="rId3" display="2022 Xcel Community Report - Climate Registry Protocol estimate" xr:uid="{6E3EC850-53CC-4B76-967F-299DA4CCECC2}"/>
    <hyperlink ref="D14" r:id="rId4" xr:uid="{95FAF1E5-09AD-4C6A-B5CC-8BBA038C833C}"/>
  </hyperlink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7"/>
  <sheetViews>
    <sheetView workbookViewId="0">
      <selection activeCell="B17" sqref="B17"/>
    </sheetView>
  </sheetViews>
  <sheetFormatPr defaultColWidth="9.140625" defaultRowHeight="15" x14ac:dyDescent="0.25"/>
  <cols>
    <col min="1" max="1" width="37.140625" style="1" bestFit="1" customWidth="1"/>
    <col min="2" max="2" width="41.42578125" style="1" customWidth="1"/>
    <col min="3" max="3" width="12.140625" style="1" customWidth="1"/>
    <col min="4" max="4" width="161.28515625" style="1" bestFit="1" customWidth="1"/>
    <col min="5" max="16384" width="9.140625" style="1"/>
  </cols>
  <sheetData>
    <row r="1" spans="1:4" x14ac:dyDescent="0.25">
      <c r="A1" s="1" t="s">
        <v>110</v>
      </c>
    </row>
    <row r="2" spans="1:4" x14ac:dyDescent="0.25">
      <c r="D2" s="1" t="s">
        <v>45</v>
      </c>
    </row>
    <row r="3" spans="1:4" x14ac:dyDescent="0.25">
      <c r="A3" s="1" t="s">
        <v>0</v>
      </c>
      <c r="B3" s="12">
        <v>20000</v>
      </c>
      <c r="C3" s="1" t="s">
        <v>1</v>
      </c>
      <c r="D3" s="1" t="s">
        <v>41</v>
      </c>
    </row>
    <row r="4" spans="1:4" x14ac:dyDescent="0.25">
      <c r="A4" s="1" t="s">
        <v>118</v>
      </c>
      <c r="B4" s="2" t="s">
        <v>84</v>
      </c>
      <c r="D4" s="1" t="s">
        <v>40</v>
      </c>
    </row>
    <row r="5" spans="1:4" x14ac:dyDescent="0.25">
      <c r="A5" s="3" t="s">
        <v>2</v>
      </c>
      <c r="B5" s="11">
        <f>VLOOKUP(B4,'Database by Subtype'!B4:F57,2,FALSE)*B3</f>
        <v>274000</v>
      </c>
      <c r="C5" s="1" t="s">
        <v>5</v>
      </c>
    </row>
    <row r="6" spans="1:4" x14ac:dyDescent="0.25">
      <c r="A6" s="3" t="s">
        <v>3</v>
      </c>
      <c r="B6" s="11">
        <f>VLOOKUP(B4,'Database by Subtype'!B4:F57,4,FALSE)*'Standard Values'!B6*B3</f>
        <v>3526.05</v>
      </c>
      <c r="C6" s="1" t="s">
        <v>4</v>
      </c>
    </row>
    <row r="7" spans="1:4" x14ac:dyDescent="0.25">
      <c r="A7" s="1" t="s">
        <v>10</v>
      </c>
    </row>
    <row r="8" spans="1:4" x14ac:dyDescent="0.25">
      <c r="A8" s="3" t="s">
        <v>2</v>
      </c>
      <c r="B8" s="13">
        <v>0</v>
      </c>
      <c r="C8" s="1" t="s">
        <v>5</v>
      </c>
      <c r="D8" s="1" t="s">
        <v>47</v>
      </c>
    </row>
    <row r="9" spans="1:4" x14ac:dyDescent="0.25">
      <c r="A9" s="3" t="s">
        <v>3</v>
      </c>
      <c r="B9" s="13">
        <v>0</v>
      </c>
      <c r="C9" s="1" t="s">
        <v>4</v>
      </c>
    </row>
    <row r="10" spans="1:4" x14ac:dyDescent="0.25">
      <c r="A10" s="1" t="s">
        <v>11</v>
      </c>
    </row>
    <row r="11" spans="1:4" x14ac:dyDescent="0.25">
      <c r="A11" s="3" t="s">
        <v>7</v>
      </c>
      <c r="B11" s="13">
        <v>0</v>
      </c>
      <c r="C11" s="1" t="s">
        <v>6</v>
      </c>
      <c r="D11" s="1" t="s">
        <v>43</v>
      </c>
    </row>
    <row r="12" spans="1:4" x14ac:dyDescent="0.25">
      <c r="A12" s="3" t="s">
        <v>9</v>
      </c>
      <c r="B12" s="11" t="e">
        <f>B11*'Standard Values'!#REF!</f>
        <v>#REF!</v>
      </c>
      <c r="C12" s="1" t="s">
        <v>5</v>
      </c>
      <c r="D12" s="1" t="s">
        <v>44</v>
      </c>
    </row>
    <row r="13" spans="1:4" x14ac:dyDescent="0.25">
      <c r="A13" s="3" t="s">
        <v>8</v>
      </c>
      <c r="B13" s="13">
        <v>0</v>
      </c>
      <c r="C13" s="1" t="s">
        <v>5</v>
      </c>
      <c r="D13" s="1" t="s">
        <v>42</v>
      </c>
    </row>
    <row r="15" spans="1:4" x14ac:dyDescent="0.25">
      <c r="A15" s="3" t="s">
        <v>48</v>
      </c>
      <c r="B15" s="10" t="e">
        <f>IF(OR(ISBLANK(B8),B8&lt;=0),(B5-B12-B13)*'Standard Values'!B8,('User Input by Subtype'!B8-B12-B13)*'Standard Values'!B8)</f>
        <v>#REF!</v>
      </c>
      <c r="C15" s="1" t="s">
        <v>39</v>
      </c>
    </row>
    <row r="16" spans="1:4" x14ac:dyDescent="0.25">
      <c r="A16" s="3" t="s">
        <v>38</v>
      </c>
      <c r="B16" s="10">
        <f>IF(OR(ISBLANK(B9),B9&lt;=0),B6*'Standard Values'!B9,'User Input by Subtype'!B9*'Standard Values'!B9)</f>
        <v>18.335460000000001</v>
      </c>
      <c r="C16" s="1" t="s">
        <v>39</v>
      </c>
    </row>
    <row r="17" spans="1:3" x14ac:dyDescent="0.25">
      <c r="A17" s="3" t="s">
        <v>49</v>
      </c>
      <c r="B17" s="14" t="e">
        <f>B15+B16</f>
        <v>#REF!</v>
      </c>
      <c r="C17" s="1" t="s">
        <v>39</v>
      </c>
    </row>
  </sheetData>
  <dataConsolidate/>
  <dataValidations count="1">
    <dataValidation allowBlank="1" showErrorMessage="1" prompt="If projected data is unavailable, leave the boxes blank. Energy Star estimates will be used instead." sqref="B5:B9 B17 B11:B13" xr:uid="{00000000-0002-0000-11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'Database by Subtype'!$B$4:$B$57</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Applicant Input &amp; Summary</vt:lpstr>
      <vt:lpstr>Mitigated Strategies Input</vt:lpstr>
      <vt:lpstr>Calculation Details</vt:lpstr>
      <vt:lpstr>Performance Std - Source Data</vt:lpstr>
      <vt:lpstr>Projected Energy</vt:lpstr>
      <vt:lpstr>Projected Waste</vt:lpstr>
      <vt:lpstr>Projected Transportation</vt:lpstr>
      <vt:lpstr>Standard Values</vt:lpstr>
      <vt:lpstr>User Input by Subtype</vt:lpstr>
      <vt:lpstr>Database by Subtype</vt:lpstr>
      <vt:lpstr>'Applicant Input &amp; Summary'!Print_Area</vt:lpstr>
      <vt:lpstr>'Mitigated Strategies Input'!Print_Area</vt:lpstr>
      <vt:lpstr>'Database by Subtype'!Print_Titles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Wong</dc:creator>
  <cp:lastModifiedBy>Jeffrey Wong</cp:lastModifiedBy>
  <cp:lastPrinted>2024-07-03T17:31:55Z</cp:lastPrinted>
  <dcterms:created xsi:type="dcterms:W3CDTF">2021-06-21T19:50:00Z</dcterms:created>
  <dcterms:modified xsi:type="dcterms:W3CDTF">2025-05-12T23:04:07Z</dcterms:modified>
</cp:coreProperties>
</file>